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achen/485Design-Project/Cost Analysis/"/>
    </mc:Choice>
  </mc:AlternateContent>
  <xr:revisionPtr revIDLastSave="0" documentId="13_ncr:1_{65C5A667-635F-AD4F-A68B-E15862AF7A1B}" xr6:coauthVersionLast="45" xr6:coauthVersionMax="45" xr10:uidLastSave="{00000000-0000-0000-0000-000000000000}"/>
  <bookViews>
    <workbookView xWindow="0" yWindow="460" windowWidth="28800" windowHeight="17540" firstSheet="1" activeTab="2" xr2:uid="{1DAFC6AB-623E-AE47-A8DD-9CC7AED1E6A8}"/>
  </bookViews>
  <sheets>
    <sheet name="Design Project(60K)" sheetId="13" r:id="rId1"/>
    <sheet name="Design Project(66K)" sheetId="1" r:id="rId2"/>
    <sheet name="Design Project(69K)" sheetId="6" r:id="rId3"/>
    <sheet name="Design Project(74K)" sheetId="7" r:id="rId4"/>
    <sheet name="Design Project(79K)" sheetId="8" r:id="rId5"/>
    <sheet name="Design Project(82K)" sheetId="10" r:id="rId6"/>
    <sheet name="Design Project(85K)" sheetId="11" r:id="rId7"/>
    <sheet name="Design Project(89K)" sheetId="12" r:id="rId8"/>
    <sheet name="COMd Calculations" sheetId="3" r:id="rId9"/>
    <sheet name="Volume of Beer Vessel" sheetId="2" r:id="rId10"/>
    <sheet name="Revenue" sheetId="4" r:id="rId11"/>
  </sheets>
  <definedNames>
    <definedName name="solver_adj" localSheetId="0" hidden="1">'Design Project(60K)'!$C$13</definedName>
    <definedName name="solver_adj" localSheetId="1" hidden="1">'Design Project(66K)'!$C$13</definedName>
    <definedName name="solver_adj" localSheetId="2" hidden="1">'Design Project(69K)'!$C$13</definedName>
    <definedName name="solver_adj" localSheetId="3" hidden="1">'Design Project(74K)'!$C$13</definedName>
    <definedName name="solver_adj" localSheetId="4" hidden="1">'Design Project(79K)'!$C$13</definedName>
    <definedName name="solver_adj" localSheetId="5" hidden="1">'Design Project(82K)'!$C$13</definedName>
    <definedName name="solver_adj" localSheetId="6" hidden="1">'Design Project(85K)'!$C$13</definedName>
    <definedName name="solver_adj" localSheetId="7" hidden="1">'Design Project(89K)'!$C$13</definedName>
    <definedName name="solver_adj" localSheetId="9" hidden="1">'Volume of Beer Vessel'!$I$5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9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9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9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9" hidden="1">2147483647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lin" localSheetId="9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9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9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9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9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9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9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9" hidden="1">0</definedName>
    <definedName name="solver_opt" localSheetId="0" hidden="1">'Design Project(60K)'!$N$24</definedName>
    <definedName name="solver_opt" localSheetId="1" hidden="1">'Design Project(66K)'!$N$24</definedName>
    <definedName name="solver_opt" localSheetId="2" hidden="1">'Design Project(69K)'!$N$24</definedName>
    <definedName name="solver_opt" localSheetId="3" hidden="1">'Design Project(74K)'!$N$24</definedName>
    <definedName name="solver_opt" localSheetId="4" hidden="1">'Design Project(79K)'!$N$24</definedName>
    <definedName name="solver_opt" localSheetId="5" hidden="1">'Design Project(82K)'!$N$24</definedName>
    <definedName name="solver_opt" localSheetId="6" hidden="1">'Design Project(85K)'!$N$24</definedName>
    <definedName name="solver_opt" localSheetId="7" hidden="1">'Design Project(89K)'!$N$24</definedName>
    <definedName name="solver_opt" localSheetId="9" hidden="1">'Volume of Beer Vessel'!$I$11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9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9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9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9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9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9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9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9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9" hidden="1">0.01</definedName>
    <definedName name="solver_typ" localSheetId="0" hidden="1">3</definedName>
    <definedName name="solver_typ" localSheetId="1" hidden="1">3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typ" localSheetId="9" hidden="1">3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9" hidden="1">3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7" hidden="1">2</definedName>
    <definedName name="solver_ver" localSheetId="9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6" l="1"/>
  <c r="R25" i="6"/>
  <c r="D58" i="4" l="1"/>
  <c r="D59" i="4"/>
  <c r="D60" i="4"/>
  <c r="D61" i="4"/>
  <c r="D57" i="4"/>
  <c r="D51" i="4"/>
  <c r="D52" i="4"/>
  <c r="D53" i="4"/>
  <c r="D54" i="4"/>
  <c r="D50" i="4"/>
  <c r="D44" i="4"/>
  <c r="D45" i="4"/>
  <c r="D46" i="4"/>
  <c r="D47" i="4"/>
  <c r="D43" i="4"/>
  <c r="D37" i="4"/>
  <c r="D38" i="4"/>
  <c r="D39" i="4"/>
  <c r="D40" i="4"/>
  <c r="D36" i="4"/>
  <c r="D30" i="4"/>
  <c r="D31" i="4"/>
  <c r="D32" i="4"/>
  <c r="D33" i="4"/>
  <c r="D29" i="4"/>
  <c r="D23" i="4"/>
  <c r="D24" i="4"/>
  <c r="D25" i="4"/>
  <c r="D26" i="4"/>
  <c r="D22" i="4"/>
  <c r="D16" i="4"/>
  <c r="D17" i="4"/>
  <c r="D18" i="4"/>
  <c r="D19" i="4"/>
  <c r="D15" i="4"/>
  <c r="D8" i="4"/>
  <c r="D9" i="4"/>
  <c r="D10" i="4"/>
  <c r="D11" i="4"/>
  <c r="D12" i="4"/>
  <c r="K24" i="13" l="1"/>
  <c r="L24" i="13" s="1"/>
  <c r="R25" i="13"/>
  <c r="L23" i="13"/>
  <c r="K23" i="13"/>
  <c r="C7" i="12"/>
  <c r="C7" i="11"/>
  <c r="C7" i="10"/>
  <c r="C7" i="8"/>
  <c r="C7" i="7"/>
  <c r="C7" i="6"/>
  <c r="K24" i="1"/>
  <c r="C8" i="1" l="1"/>
  <c r="C7" i="1"/>
  <c r="C2" i="1"/>
  <c r="C2" i="13"/>
  <c r="F24" i="13" s="1"/>
  <c r="C14" i="13"/>
  <c r="G22" i="13" s="1"/>
  <c r="C8" i="13"/>
  <c r="C7" i="13"/>
  <c r="I24" i="13" s="1"/>
  <c r="G24" i="13"/>
  <c r="G23" i="13"/>
  <c r="G21" i="13"/>
  <c r="G20" i="13"/>
  <c r="H20" i="13" l="1"/>
  <c r="F23" i="13"/>
  <c r="F20" i="13"/>
  <c r="H24" i="13"/>
  <c r="F21" i="13"/>
  <c r="H23" i="13"/>
  <c r="F22" i="13"/>
  <c r="C3" i="13"/>
  <c r="H19" i="13" s="1"/>
  <c r="L19" i="13" s="1"/>
  <c r="M19" i="13" s="1"/>
  <c r="N19" i="13" s="1"/>
  <c r="H21" i="13"/>
  <c r="H22" i="13"/>
  <c r="J24" i="13"/>
  <c r="I4" i="13"/>
  <c r="I5" i="13"/>
  <c r="I6" i="13"/>
  <c r="I20" i="13"/>
  <c r="J20" i="13" s="1"/>
  <c r="I21" i="13"/>
  <c r="I23" i="13"/>
  <c r="I22" i="13"/>
  <c r="J22" i="13" s="1"/>
  <c r="K22" i="13" s="1"/>
  <c r="L22" i="13" s="1"/>
  <c r="M22" i="13" s="1"/>
  <c r="I3" i="13"/>
  <c r="I7" i="13"/>
  <c r="J23" i="13"/>
  <c r="M23" i="13" s="1"/>
  <c r="N20" i="13"/>
  <c r="I2" i="13"/>
  <c r="K20" i="13"/>
  <c r="L20" i="13" s="1"/>
  <c r="M20" i="13" s="1"/>
  <c r="M24" i="13"/>
  <c r="J21" i="13" l="1"/>
  <c r="K21" i="13" s="1"/>
  <c r="L21" i="13" s="1"/>
  <c r="M21" i="13" s="1"/>
  <c r="N21" i="13"/>
  <c r="N22" i="13" s="1"/>
  <c r="N23" i="13" s="1"/>
  <c r="N24" i="13" s="1"/>
  <c r="C14" i="12"/>
  <c r="C8" i="12"/>
  <c r="G20" i="12" s="1"/>
  <c r="I22" i="12"/>
  <c r="C3" i="12"/>
  <c r="C2" i="12"/>
  <c r="F24" i="12" s="1"/>
  <c r="I23" i="12"/>
  <c r="G23" i="12"/>
  <c r="C14" i="11"/>
  <c r="C8" i="11"/>
  <c r="G20" i="11" s="1"/>
  <c r="I22" i="11"/>
  <c r="C3" i="11"/>
  <c r="C2" i="11"/>
  <c r="F24" i="11" s="1"/>
  <c r="G24" i="11"/>
  <c r="I23" i="11"/>
  <c r="G23" i="11"/>
  <c r="I4" i="11"/>
  <c r="C14" i="10"/>
  <c r="C8" i="10"/>
  <c r="G22" i="10" s="1"/>
  <c r="I24" i="10"/>
  <c r="C3" i="10"/>
  <c r="C2" i="10"/>
  <c r="F24" i="10" s="1"/>
  <c r="C14" i="8"/>
  <c r="G22" i="8" s="1"/>
  <c r="C8" i="8"/>
  <c r="G21" i="8" s="1"/>
  <c r="C2" i="8"/>
  <c r="I24" i="8"/>
  <c r="G24" i="8"/>
  <c r="F24" i="8"/>
  <c r="I23" i="8"/>
  <c r="G23" i="8"/>
  <c r="F23" i="8"/>
  <c r="I22" i="8"/>
  <c r="F22" i="8"/>
  <c r="I21" i="8"/>
  <c r="F21" i="8"/>
  <c r="I20" i="8"/>
  <c r="G20" i="8"/>
  <c r="H20" i="8" s="1"/>
  <c r="F20" i="8"/>
  <c r="I7" i="8"/>
  <c r="I6" i="8"/>
  <c r="I5" i="8"/>
  <c r="I3" i="8"/>
  <c r="C3" i="8"/>
  <c r="H19" i="8" s="1"/>
  <c r="L19" i="8" s="1"/>
  <c r="M19" i="8" s="1"/>
  <c r="N19" i="8" s="1"/>
  <c r="I2" i="8"/>
  <c r="I24" i="7"/>
  <c r="G24" i="7"/>
  <c r="F24" i="7"/>
  <c r="I23" i="7"/>
  <c r="G23" i="7"/>
  <c r="F23" i="7"/>
  <c r="H23" i="7" s="1"/>
  <c r="I22" i="7"/>
  <c r="G22" i="7"/>
  <c r="F22" i="7"/>
  <c r="I21" i="7"/>
  <c r="G21" i="7"/>
  <c r="F21" i="7"/>
  <c r="I20" i="7"/>
  <c r="G20" i="7"/>
  <c r="F20" i="7"/>
  <c r="I7" i="7"/>
  <c r="I6" i="7"/>
  <c r="I5" i="7"/>
  <c r="I4" i="7"/>
  <c r="I3" i="7"/>
  <c r="C3" i="7"/>
  <c r="H19" i="7" s="1"/>
  <c r="L19" i="7" s="1"/>
  <c r="M19" i="7" s="1"/>
  <c r="N19" i="7" s="1"/>
  <c r="I24" i="6"/>
  <c r="G24" i="6"/>
  <c r="F24" i="6"/>
  <c r="I23" i="6"/>
  <c r="G23" i="6"/>
  <c r="F23" i="6"/>
  <c r="I22" i="6"/>
  <c r="G22" i="6"/>
  <c r="F22" i="6"/>
  <c r="I21" i="6"/>
  <c r="G21" i="6"/>
  <c r="H21" i="6" s="1"/>
  <c r="F21" i="6"/>
  <c r="I20" i="6"/>
  <c r="G20" i="6"/>
  <c r="F20" i="6"/>
  <c r="I7" i="6"/>
  <c r="I6" i="6"/>
  <c r="I5" i="6"/>
  <c r="I4" i="6"/>
  <c r="I3" i="6"/>
  <c r="C3" i="6"/>
  <c r="H19" i="6" s="1"/>
  <c r="L19" i="6" s="1"/>
  <c r="M19" i="6" s="1"/>
  <c r="N19" i="6" s="1"/>
  <c r="C3" i="1"/>
  <c r="H19" i="1" s="1"/>
  <c r="K24" i="10" l="1"/>
  <c r="H24" i="6"/>
  <c r="H23" i="6"/>
  <c r="H21" i="7"/>
  <c r="H24" i="7"/>
  <c r="G24" i="12"/>
  <c r="I21" i="12"/>
  <c r="I4" i="12"/>
  <c r="I7" i="12"/>
  <c r="H24" i="12"/>
  <c r="H19" i="12"/>
  <c r="L19" i="12" s="1"/>
  <c r="M19" i="12" s="1"/>
  <c r="N19" i="12" s="1"/>
  <c r="I6" i="12"/>
  <c r="I20" i="12"/>
  <c r="G22" i="12"/>
  <c r="F23" i="12"/>
  <c r="H23" i="12" s="1"/>
  <c r="I24" i="12"/>
  <c r="F21" i="12"/>
  <c r="I5" i="12"/>
  <c r="G21" i="12"/>
  <c r="F22" i="12"/>
  <c r="I3" i="12"/>
  <c r="F20" i="12"/>
  <c r="H20" i="12" s="1"/>
  <c r="I21" i="11"/>
  <c r="I7" i="11"/>
  <c r="H24" i="11"/>
  <c r="I5" i="11"/>
  <c r="G21" i="11"/>
  <c r="F22" i="11"/>
  <c r="H19" i="11"/>
  <c r="L19" i="11" s="1"/>
  <c r="M19" i="11" s="1"/>
  <c r="N19" i="11" s="1"/>
  <c r="I6" i="11"/>
  <c r="I20" i="11"/>
  <c r="G22" i="11"/>
  <c r="H22" i="11" s="1"/>
  <c r="J22" i="11" s="1"/>
  <c r="F23" i="11"/>
  <c r="H23" i="11" s="1"/>
  <c r="I24" i="11"/>
  <c r="F21" i="11"/>
  <c r="I3" i="11"/>
  <c r="F20" i="11"/>
  <c r="H20" i="11" s="1"/>
  <c r="F23" i="10"/>
  <c r="F20" i="10"/>
  <c r="F22" i="10"/>
  <c r="H22" i="10"/>
  <c r="I3" i="10"/>
  <c r="I21" i="10"/>
  <c r="G23" i="10"/>
  <c r="H23" i="10" s="1"/>
  <c r="I4" i="10"/>
  <c r="I7" i="10"/>
  <c r="G20" i="10"/>
  <c r="H20" i="10" s="1"/>
  <c r="F21" i="10"/>
  <c r="I22" i="10"/>
  <c r="G24" i="10"/>
  <c r="H24" i="10" s="1"/>
  <c r="J24" i="10" s="1"/>
  <c r="I5" i="10"/>
  <c r="I23" i="10"/>
  <c r="G21" i="10"/>
  <c r="H21" i="10" s="1"/>
  <c r="I6" i="10"/>
  <c r="I20" i="10"/>
  <c r="I4" i="8"/>
  <c r="H23" i="8"/>
  <c r="H24" i="8"/>
  <c r="H22" i="8"/>
  <c r="J22" i="8" s="1"/>
  <c r="H21" i="8"/>
  <c r="J21" i="8" s="1"/>
  <c r="K21" i="8" s="1"/>
  <c r="L21" i="8" s="1"/>
  <c r="M21" i="8" s="1"/>
  <c r="J20" i="8"/>
  <c r="K20" i="8" s="1"/>
  <c r="L20" i="8" s="1"/>
  <c r="M20" i="8" s="1"/>
  <c r="N20" i="8" s="1"/>
  <c r="J24" i="8"/>
  <c r="J23" i="8"/>
  <c r="K23" i="8" s="1"/>
  <c r="L23" i="8" s="1"/>
  <c r="M23" i="8" s="1"/>
  <c r="I2" i="7"/>
  <c r="H20" i="7"/>
  <c r="H22" i="7"/>
  <c r="J22" i="7" s="1"/>
  <c r="K22" i="7" s="1"/>
  <c r="L22" i="7" s="1"/>
  <c r="M22" i="7" s="1"/>
  <c r="J24" i="7"/>
  <c r="J21" i="7"/>
  <c r="K21" i="7" s="1"/>
  <c r="L21" i="7" s="1"/>
  <c r="M21" i="7" s="1"/>
  <c r="J20" i="7"/>
  <c r="K20" i="7" s="1"/>
  <c r="L20" i="7" s="1"/>
  <c r="M20" i="7" s="1"/>
  <c r="N20" i="7" s="1"/>
  <c r="J23" i="7"/>
  <c r="K23" i="7" s="1"/>
  <c r="L23" i="7" s="1"/>
  <c r="M23" i="7" s="1"/>
  <c r="I2" i="6"/>
  <c r="H20" i="6"/>
  <c r="J20" i="6" s="1"/>
  <c r="K20" i="6" s="1"/>
  <c r="L20" i="6" s="1"/>
  <c r="M20" i="6" s="1"/>
  <c r="N20" i="6" s="1"/>
  <c r="H22" i="6"/>
  <c r="J22" i="6" s="1"/>
  <c r="K22" i="6" s="1"/>
  <c r="L22" i="6" s="1"/>
  <c r="M22" i="6" s="1"/>
  <c r="J24" i="6"/>
  <c r="J21" i="6"/>
  <c r="K21" i="6" s="1"/>
  <c r="L21" i="6" s="1"/>
  <c r="M21" i="6" s="1"/>
  <c r="J23" i="6"/>
  <c r="K23" i="6" s="1"/>
  <c r="L23" i="6" s="1"/>
  <c r="M23" i="6" s="1"/>
  <c r="G22" i="1"/>
  <c r="F21" i="1"/>
  <c r="F20" i="1"/>
  <c r="F24" i="1"/>
  <c r="C9" i="2"/>
  <c r="G10" i="2"/>
  <c r="G11" i="2" s="1"/>
  <c r="H10" i="2"/>
  <c r="H11" i="2" s="1"/>
  <c r="I10" i="2"/>
  <c r="I11" i="2" s="1"/>
  <c r="D9" i="2"/>
  <c r="D10" i="2" s="1"/>
  <c r="D11" i="2" s="1"/>
  <c r="E9" i="2"/>
  <c r="E10" i="2" s="1"/>
  <c r="E11" i="2" s="1"/>
  <c r="F9" i="2"/>
  <c r="F10" i="2" s="1"/>
  <c r="F11" i="2" s="1"/>
  <c r="G9" i="2"/>
  <c r="H9" i="2"/>
  <c r="I9" i="2"/>
  <c r="D4" i="2"/>
  <c r="E4" i="2"/>
  <c r="F4" i="2"/>
  <c r="G4" i="2"/>
  <c r="H4" i="2"/>
  <c r="I4" i="2"/>
  <c r="D3" i="2"/>
  <c r="E3" i="2"/>
  <c r="F3" i="2"/>
  <c r="G3" i="2"/>
  <c r="H3" i="2"/>
  <c r="I3" i="2"/>
  <c r="E61" i="4"/>
  <c r="E60" i="4"/>
  <c r="E59" i="4"/>
  <c r="E58" i="4"/>
  <c r="E57" i="4"/>
  <c r="E54" i="4"/>
  <c r="E53" i="4"/>
  <c r="E52" i="4"/>
  <c r="E51" i="4"/>
  <c r="E50" i="4"/>
  <c r="E47" i="4"/>
  <c r="E46" i="4"/>
  <c r="E45" i="4"/>
  <c r="E44" i="4"/>
  <c r="E43" i="4"/>
  <c r="E40" i="4"/>
  <c r="E39" i="4"/>
  <c r="E38" i="4"/>
  <c r="E37" i="4"/>
  <c r="E36" i="4"/>
  <c r="E33" i="4"/>
  <c r="E32" i="4"/>
  <c r="E31" i="4"/>
  <c r="E30" i="4"/>
  <c r="E29" i="4"/>
  <c r="E26" i="4"/>
  <c r="E25" i="4"/>
  <c r="E24" i="4"/>
  <c r="E23" i="4"/>
  <c r="E22" i="4"/>
  <c r="E19" i="4"/>
  <c r="E18" i="4"/>
  <c r="E17" i="4"/>
  <c r="E16" i="4"/>
  <c r="E15" i="4"/>
  <c r="W26" i="3"/>
  <c r="W20" i="3"/>
  <c r="W11" i="3"/>
  <c r="W12" i="3" s="1"/>
  <c r="W13" i="3" s="1"/>
  <c r="W4" i="3"/>
  <c r="W5" i="3" s="1"/>
  <c r="W3" i="3"/>
  <c r="T26" i="3"/>
  <c r="T20" i="3"/>
  <c r="T11" i="3"/>
  <c r="T12" i="3" s="1"/>
  <c r="T13" i="3" s="1"/>
  <c r="T4" i="3"/>
  <c r="T3" i="3"/>
  <c r="T5" i="3" s="1"/>
  <c r="Q26" i="3"/>
  <c r="Q20" i="3"/>
  <c r="Q11" i="3"/>
  <c r="Q12" i="3" s="1"/>
  <c r="Q13" i="3" s="1"/>
  <c r="Q4" i="3"/>
  <c r="Q3" i="3"/>
  <c r="Q5" i="3" s="1"/>
  <c r="N26" i="3"/>
  <c r="N20" i="3"/>
  <c r="N11" i="3"/>
  <c r="N12" i="3" s="1"/>
  <c r="N13" i="3" s="1"/>
  <c r="N4" i="3"/>
  <c r="N3" i="3"/>
  <c r="K26" i="3"/>
  <c r="K20" i="3"/>
  <c r="K11" i="3"/>
  <c r="K12" i="3" s="1"/>
  <c r="K13" i="3" s="1"/>
  <c r="K5" i="3"/>
  <c r="K4" i="3"/>
  <c r="K3" i="3"/>
  <c r="H26" i="3"/>
  <c r="H20" i="3"/>
  <c r="H11" i="3"/>
  <c r="H12" i="3" s="1"/>
  <c r="H13" i="3" s="1"/>
  <c r="H4" i="3"/>
  <c r="H3" i="3"/>
  <c r="C3" i="2"/>
  <c r="C4" i="2" s="1"/>
  <c r="C10" i="2" s="1"/>
  <c r="C11" i="2" s="1"/>
  <c r="E26" i="3"/>
  <c r="E20" i="3"/>
  <c r="E11" i="3"/>
  <c r="E12" i="3" s="1"/>
  <c r="E13" i="3" s="1"/>
  <c r="E4" i="3"/>
  <c r="E5" i="3" s="1"/>
  <c r="E3" i="3"/>
  <c r="B26" i="3"/>
  <c r="B4" i="3"/>
  <c r="B3" i="3"/>
  <c r="B11" i="2"/>
  <c r="K24" i="12" l="1"/>
  <c r="K24" i="8"/>
  <c r="L24" i="8" s="1"/>
  <c r="M24" i="8" s="1"/>
  <c r="K24" i="7"/>
  <c r="L24" i="7" s="1"/>
  <c r="M24" i="7" s="1"/>
  <c r="L24" i="6"/>
  <c r="M24" i="6" s="1"/>
  <c r="I2" i="12"/>
  <c r="J23" i="12"/>
  <c r="K23" i="12" s="1"/>
  <c r="L23" i="12" s="1"/>
  <c r="M23" i="12" s="1"/>
  <c r="H21" i="12"/>
  <c r="J24" i="12"/>
  <c r="H22" i="12"/>
  <c r="J20" i="12"/>
  <c r="K20" i="12" s="1"/>
  <c r="L20" i="12" s="1"/>
  <c r="M20" i="12" s="1"/>
  <c r="N20" i="12" s="1"/>
  <c r="J23" i="11"/>
  <c r="K23" i="11" s="1"/>
  <c r="L23" i="11" s="1"/>
  <c r="M23" i="11" s="1"/>
  <c r="I2" i="11"/>
  <c r="J24" i="11"/>
  <c r="J20" i="11"/>
  <c r="K20" i="11" s="1"/>
  <c r="L20" i="11" s="1"/>
  <c r="M20" i="11" s="1"/>
  <c r="N20" i="11" s="1"/>
  <c r="K22" i="11"/>
  <c r="L22" i="11" s="1"/>
  <c r="M22" i="11" s="1"/>
  <c r="H21" i="11"/>
  <c r="J21" i="10"/>
  <c r="K21" i="10" s="1"/>
  <c r="L21" i="10" s="1"/>
  <c r="M21" i="10" s="1"/>
  <c r="J22" i="10"/>
  <c r="K22" i="10" s="1"/>
  <c r="L22" i="10" s="1"/>
  <c r="M22" i="10" s="1"/>
  <c r="L24" i="10"/>
  <c r="M24" i="10" s="1"/>
  <c r="H19" i="10"/>
  <c r="L19" i="10" s="1"/>
  <c r="M19" i="10" s="1"/>
  <c r="N19" i="10" s="1"/>
  <c r="I2" i="10"/>
  <c r="J20" i="10"/>
  <c r="K20" i="10" s="1"/>
  <c r="L20" i="10" s="1"/>
  <c r="M20" i="10" s="1"/>
  <c r="J23" i="10"/>
  <c r="K23" i="10" s="1"/>
  <c r="L23" i="10" s="1"/>
  <c r="M23" i="10" s="1"/>
  <c r="N21" i="8"/>
  <c r="K22" i="8"/>
  <c r="L22" i="8" s="1"/>
  <c r="M22" i="8" s="1"/>
  <c r="N21" i="7"/>
  <c r="N22" i="7" s="1"/>
  <c r="N23" i="7" s="1"/>
  <c r="N21" i="6"/>
  <c r="N22" i="6" s="1"/>
  <c r="N23" i="6" s="1"/>
  <c r="N5" i="3"/>
  <c r="H5" i="3"/>
  <c r="W28" i="3"/>
  <c r="T28" i="3"/>
  <c r="Q28" i="3"/>
  <c r="N28" i="3"/>
  <c r="K28" i="3"/>
  <c r="H28" i="3"/>
  <c r="E28" i="3"/>
  <c r="E8" i="4"/>
  <c r="E9" i="4"/>
  <c r="E10" i="4"/>
  <c r="E11" i="4"/>
  <c r="E12" i="4"/>
  <c r="K24" i="11" l="1"/>
  <c r="L24" i="11" s="1"/>
  <c r="M24" i="11" s="1"/>
  <c r="N24" i="7"/>
  <c r="N24" i="6"/>
  <c r="L24" i="12"/>
  <c r="M24" i="12" s="1"/>
  <c r="J22" i="12"/>
  <c r="K22" i="12" s="1"/>
  <c r="L22" i="12" s="1"/>
  <c r="M22" i="12" s="1"/>
  <c r="J21" i="12"/>
  <c r="K21" i="12" s="1"/>
  <c r="L21" i="12" s="1"/>
  <c r="M21" i="12" s="1"/>
  <c r="N21" i="12" s="1"/>
  <c r="J21" i="11"/>
  <c r="K21" i="11" s="1"/>
  <c r="L21" i="11" s="1"/>
  <c r="M21" i="11" s="1"/>
  <c r="N21" i="11" s="1"/>
  <c r="N22" i="11" s="1"/>
  <c r="N23" i="11" s="1"/>
  <c r="N20" i="10"/>
  <c r="N21" i="10" s="1"/>
  <c r="N22" i="10" s="1"/>
  <c r="N23" i="10" s="1"/>
  <c r="N24" i="10" s="1"/>
  <c r="N22" i="8"/>
  <c r="N23" i="8" s="1"/>
  <c r="N24" i="8" s="1"/>
  <c r="B20" i="3"/>
  <c r="B11" i="3"/>
  <c r="B12" i="3" s="1"/>
  <c r="B13" i="3" s="1"/>
  <c r="B3" i="2"/>
  <c r="B4" i="2" s="1"/>
  <c r="B9" i="2" s="1"/>
  <c r="B10" i="2" s="1"/>
  <c r="N24" i="11" l="1"/>
  <c r="N22" i="12"/>
  <c r="N23" i="12" s="1"/>
  <c r="N24" i="12" s="1"/>
  <c r="B28" i="3"/>
  <c r="B5" i="3"/>
  <c r="I2" i="1" l="1"/>
  <c r="I3" i="1"/>
  <c r="I4" i="1"/>
  <c r="I5" i="1"/>
  <c r="I6" i="1"/>
  <c r="I7" i="1"/>
  <c r="L19" i="1"/>
  <c r="G20" i="1"/>
  <c r="I20" i="1"/>
  <c r="G21" i="1"/>
  <c r="I21" i="1"/>
  <c r="F22" i="1"/>
  <c r="I22" i="1"/>
  <c r="F23" i="1"/>
  <c r="G23" i="1"/>
  <c r="I23" i="1"/>
  <c r="G24" i="1"/>
  <c r="I24" i="1"/>
  <c r="M19" i="1" l="1"/>
  <c r="N19" i="1" s="1"/>
  <c r="H21" i="1"/>
  <c r="J21" i="1" s="1"/>
  <c r="H22" i="1"/>
  <c r="H20" i="1"/>
  <c r="J20" i="1" s="1"/>
  <c r="K20" i="1" s="1"/>
  <c r="H24" i="1"/>
  <c r="H23" i="1"/>
  <c r="J23" i="1" s="1"/>
  <c r="K23" i="1" s="1"/>
  <c r="L23" i="1" s="1"/>
  <c r="M23" i="1" s="1"/>
  <c r="J24" i="1" l="1"/>
  <c r="L24" i="1" s="1"/>
  <c r="M24" i="1" s="1"/>
  <c r="L20" i="1"/>
  <c r="M20" i="1" s="1"/>
  <c r="N20" i="1" s="1"/>
  <c r="K21" i="1"/>
  <c r="L21" i="1" s="1"/>
  <c r="M21" i="1" s="1"/>
  <c r="J22" i="1"/>
  <c r="K22" i="1" s="1"/>
  <c r="N21" i="1" l="1"/>
  <c r="L22" i="1"/>
  <c r="M22" i="1" l="1"/>
  <c r="N22" i="1" s="1"/>
  <c r="N23" i="1" s="1"/>
  <c r="N24" i="1" s="1"/>
</calcChain>
</file>

<file path=xl/sharedStrings.xml><?xml version="1.0" encoding="utf-8"?>
<sst xmlns="http://schemas.openxmlformats.org/spreadsheetml/2006/main" count="570" uniqueCount="78">
  <si>
    <t>Cumulative Discounted CFD</t>
  </si>
  <si>
    <t>End of Year</t>
  </si>
  <si>
    <t>Discounted CFD</t>
  </si>
  <si>
    <t>Non-discounted After Tax-Cash Flow</t>
  </si>
  <si>
    <t>After-Tax Profit</t>
  </si>
  <si>
    <t>Income Tax</t>
  </si>
  <si>
    <t>Revenue</t>
  </si>
  <si>
    <t>Expenses</t>
  </si>
  <si>
    <t>Com_d</t>
  </si>
  <si>
    <t>FCI-dk</t>
  </si>
  <si>
    <t>dk</t>
  </si>
  <si>
    <t xml:space="preserve">Cost of Membrane </t>
  </si>
  <si>
    <t>Discount Rate</t>
  </si>
  <si>
    <t>Life (years)</t>
  </si>
  <si>
    <t>Depreciation (MACRS)</t>
  </si>
  <si>
    <t>S</t>
  </si>
  <si>
    <t>Salvage Value</t>
  </si>
  <si>
    <t>t</t>
  </si>
  <si>
    <t>Taxation Rate</t>
  </si>
  <si>
    <t>COM(d)</t>
  </si>
  <si>
    <t>Cost of manufacturing</t>
  </si>
  <si>
    <t>R</t>
  </si>
  <si>
    <t>Sale Revenue</t>
  </si>
  <si>
    <t xml:space="preserve">Working capital </t>
  </si>
  <si>
    <t>FCI(L)</t>
  </si>
  <si>
    <t>Total Fixed Capital Investment</t>
  </si>
  <si>
    <t>L</t>
  </si>
  <si>
    <t>Cost of Land</t>
  </si>
  <si>
    <t>Liquid Drums are horizontal</t>
  </si>
  <si>
    <t>L/D = 3</t>
  </si>
  <si>
    <t>Heuristic:</t>
  </si>
  <si>
    <t>Height</t>
  </si>
  <si>
    <t>Volume of Vessel [m^3]</t>
  </si>
  <si>
    <t>Batch Feed Mass [g]</t>
  </si>
  <si>
    <t>Calculation:</t>
  </si>
  <si>
    <t>Diameter [m]</t>
  </si>
  <si>
    <t>Density [g/m^3]</t>
  </si>
  <si>
    <t>Fluid Ounce to m^3</t>
  </si>
  <si>
    <t>Budweiser is the generic beer. Budweiser has 29.8 grams per fluid ounce.</t>
  </si>
  <si>
    <t>Assumptions:</t>
  </si>
  <si>
    <t>Cost of Membrane</t>
  </si>
  <si>
    <t>Cost of Housing</t>
  </si>
  <si>
    <t>FCI_GR</t>
  </si>
  <si>
    <t>C_OL</t>
  </si>
  <si>
    <t>N_OL</t>
  </si>
  <si>
    <t>N_np</t>
  </si>
  <si>
    <t>Operating Labor</t>
  </si>
  <si>
    <t>Labor Cost</t>
  </si>
  <si>
    <t>C_UT</t>
  </si>
  <si>
    <t>Power of pump 1 [kW]</t>
  </si>
  <si>
    <t>Power of pump 2 [kW]</t>
  </si>
  <si>
    <t>Rate of electricity [$/kWh]</t>
  </si>
  <si>
    <t>Cost of Electricity</t>
  </si>
  <si>
    <t>Operating hours [hr/day]</t>
  </si>
  <si>
    <t>C_RM</t>
  </si>
  <si>
    <t>Flow rate of water [kg/hr]</t>
  </si>
  <si>
    <t>DI water [$/1000 kg]</t>
  </si>
  <si>
    <t>Cost of DI Water</t>
  </si>
  <si>
    <t>COMd</t>
  </si>
  <si>
    <t>Total Membrane Cost</t>
  </si>
  <si>
    <t>Florida</t>
  </si>
  <si>
    <t>Texas</t>
  </si>
  <si>
    <t>California</t>
  </si>
  <si>
    <t>Georgia</t>
  </si>
  <si>
    <t>Alabama</t>
  </si>
  <si>
    <t>Profit per barrel</t>
  </si>
  <si>
    <t>Amount saved in Excise duties ($/gal)</t>
  </si>
  <si>
    <t>State</t>
  </si>
  <si>
    <t>Area of Membrane [m^2]</t>
  </si>
  <si>
    <t>Estimated Profit per year (at 60936 barrels per year)</t>
  </si>
  <si>
    <t>Estimated Profit per year (at 66973 barrels per year)</t>
  </si>
  <si>
    <t>Estimated Profit per year (at 74993 barrels per year)</t>
  </si>
  <si>
    <t>Estimated Profit per year (at 79992 barrels per year)</t>
  </si>
  <si>
    <t>Estimated Profit per year (at 82989 barrels per year)</t>
  </si>
  <si>
    <t>Estimated Profit per year (at 85903 barrels per year)</t>
  </si>
  <si>
    <t>Estimated Profit per year (at 89976 barrels per year)</t>
  </si>
  <si>
    <t>Diameter</t>
  </si>
  <si>
    <t>Yearly Revenue (at 69994 barrels 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</si>
</sst>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?_);_(@_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212121"/>
      <name val="Courier New"/>
      <family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44" fontId="0" fillId="0" borderId="0" xfId="1" applyFont="1"/>
    <xf numFmtId="0" fontId="1" fillId="0" borderId="0" xfId="4"/>
    <xf numFmtId="0" fontId="0" fillId="0" borderId="4" xfId="0" applyBorder="1"/>
    <xf numFmtId="43" fontId="0" fillId="0" borderId="5" xfId="2" applyFont="1" applyBorder="1"/>
    <xf numFmtId="44" fontId="0" fillId="0" borderId="5" xfId="1" applyFont="1" applyBorder="1"/>
    <xf numFmtId="0" fontId="0" fillId="0" borderId="5" xfId="0" applyBorder="1"/>
    <xf numFmtId="44" fontId="3" fillId="2" borderId="5" xfId="3" applyNumberFormat="1" applyBorder="1"/>
    <xf numFmtId="0" fontId="0" fillId="0" borderId="5" xfId="1" applyNumberFormat="1" applyFont="1" applyBorder="1"/>
    <xf numFmtId="0" fontId="0" fillId="0" borderId="6" xfId="0" applyBorder="1"/>
    <xf numFmtId="44" fontId="0" fillId="0" borderId="7" xfId="0" applyNumberFormat="1" applyBorder="1"/>
    <xf numFmtId="44" fontId="0" fillId="0" borderId="1" xfId="1" applyFont="1" applyBorder="1"/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4" fillId="0" borderId="0" xfId="0" applyFont="1"/>
    <xf numFmtId="0" fontId="5" fillId="3" borderId="1" xfId="0" applyFont="1" applyFill="1" applyBorder="1" applyAlignment="1">
      <alignment vertical="center"/>
    </xf>
    <xf numFmtId="43" fontId="1" fillId="0" borderId="0" xfId="2" applyFont="1"/>
    <xf numFmtId="0" fontId="0" fillId="0" borderId="0" xfId="0" applyNumberFormat="1"/>
    <xf numFmtId="43" fontId="1" fillId="0" borderId="0" xfId="4" applyNumberFormat="1"/>
    <xf numFmtId="0" fontId="0" fillId="0" borderId="4" xfId="0" applyNumberFormat="1" applyBorder="1"/>
    <xf numFmtId="44" fontId="0" fillId="0" borderId="1" xfId="0" applyNumberFormat="1" applyBorder="1"/>
    <xf numFmtId="0" fontId="0" fillId="0" borderId="8" xfId="0" applyBorder="1"/>
    <xf numFmtId="44" fontId="0" fillId="0" borderId="0" xfId="0" applyNumberFormat="1" applyBorder="1"/>
    <xf numFmtId="44" fontId="6" fillId="0" borderId="0" xfId="0" applyNumberFormat="1" applyFont="1" applyBorder="1"/>
    <xf numFmtId="164" fontId="0" fillId="0" borderId="0" xfId="0" applyNumberFormat="1"/>
    <xf numFmtId="164" fontId="0" fillId="0" borderId="1" xfId="0" applyNumberFormat="1" applyBorder="1"/>
    <xf numFmtId="8" fontId="0" fillId="0" borderId="5" xfId="1" applyNumberFormat="1" applyFont="1" applyBorder="1"/>
    <xf numFmtId="8" fontId="6" fillId="0" borderId="0" xfId="0" applyNumberFormat="1" applyFont="1" applyBorder="1"/>
    <xf numFmtId="44" fontId="0" fillId="0" borderId="0" xfId="1" applyNumberFormat="1" applyFont="1"/>
    <xf numFmtId="44" fontId="0" fillId="0" borderId="5" xfId="1" applyNumberFormat="1" applyFont="1" applyBorder="1"/>
    <xf numFmtId="4" fontId="0" fillId="0" borderId="0" xfId="0" applyNumberFormat="1"/>
    <xf numFmtId="0" fontId="0" fillId="0" borderId="9" xfId="0" applyFill="1" applyBorder="1"/>
    <xf numFmtId="44" fontId="0" fillId="0" borderId="0" xfId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8" xfId="1" applyFont="1" applyBorder="1"/>
    <xf numFmtId="0" fontId="0" fillId="0" borderId="10" xfId="0" applyBorder="1"/>
  </cellXfs>
  <cellStyles count="5">
    <cellStyle name="Comma" xfId="2" builtinId="3"/>
    <cellStyle name="Currency" xfId="1" builtinId="4"/>
    <cellStyle name="Good" xfId="3" builtinId="26"/>
    <cellStyle name="Normal" xfId="0" builtinId="0"/>
    <cellStyle name="Normal 2" xfId="4" xr:uid="{96058C34-B517-5B42-92C3-A81068A6E7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Project(60K)'!$H$2:$H$7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Project(60K)'!$I$2:$I$7</c:f>
              <c:numCache>
                <c:formatCode>General</c:formatCode>
                <c:ptCount val="6"/>
                <c:pt idx="0">
                  <c:v>-436798.48</c:v>
                </c:pt>
                <c:pt idx="1">
                  <c:v>-87338.546244608937</c:v>
                </c:pt>
                <c:pt idx="2">
                  <c:v>-87338.546244608937</c:v>
                </c:pt>
                <c:pt idx="3">
                  <c:v>-87338.546244608937</c:v>
                </c:pt>
                <c:pt idx="4">
                  <c:v>-87338.546244608937</c:v>
                </c:pt>
                <c:pt idx="5">
                  <c:v>-87338.546244608937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0-6746-9E9D-7C4A9807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46368"/>
        <c:axId val="1636440288"/>
      </c:barChart>
      <c:catAx>
        <c:axId val="16380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0288"/>
        <c:crosses val="autoZero"/>
        <c:auto val="1"/>
        <c:lblAlgn val="ctr"/>
        <c:lblOffset val="100"/>
        <c:noMultiLvlLbl val="0"/>
      </c:catAx>
      <c:valAx>
        <c:axId val="1636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Project(74K)'!$H$2:$H$7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Project(74K)'!$I$2:$I$7</c:f>
              <c:numCache>
                <c:formatCode>General</c:formatCode>
                <c:ptCount val="6"/>
                <c:pt idx="0">
                  <c:v>-459123.48</c:v>
                </c:pt>
                <c:pt idx="1">
                  <c:v>370691.73174314923</c:v>
                </c:pt>
                <c:pt idx="2">
                  <c:v>370691.73174314923</c:v>
                </c:pt>
                <c:pt idx="3">
                  <c:v>370691.73174314923</c:v>
                </c:pt>
                <c:pt idx="4">
                  <c:v>370691.73174314923</c:v>
                </c:pt>
                <c:pt idx="5">
                  <c:v>370691.73174314923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3-CB4D-A171-3B21E22B5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46368"/>
        <c:axId val="1636440288"/>
      </c:barChart>
      <c:catAx>
        <c:axId val="16380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0288"/>
        <c:crosses val="autoZero"/>
        <c:auto val="1"/>
        <c:lblAlgn val="ctr"/>
        <c:lblOffset val="100"/>
        <c:noMultiLvlLbl val="0"/>
      </c:catAx>
      <c:valAx>
        <c:axId val="1636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Project(74K)'!$D$19:$D$24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Project(74K)'!$M$19:$M$24</c:f>
              <c:numCache>
                <c:formatCode>_("$"* #,##0.00_);_("$"* \(#,##0.00\);_("$"* "-"??_);_(@_)</c:formatCode>
                <c:ptCount val="6"/>
                <c:pt idx="0">
                  <c:v>-459123.48</c:v>
                </c:pt>
                <c:pt idx="1">
                  <c:v>177851.57502668968</c:v>
                </c:pt>
                <c:pt idx="2">
                  <c:v>124771.74768048155</c:v>
                </c:pt>
                <c:pt idx="3">
                  <c:v>67561.066018630532</c:v>
                </c:pt>
                <c:pt idx="4">
                  <c:v>45147.129603227615</c:v>
                </c:pt>
                <c:pt idx="5">
                  <c:v>43791.960909838541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5-2B47-B7F5-2E93D7DFC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48784"/>
        <c:axId val="1641758592"/>
      </c:barChart>
      <c:catAx>
        <c:axId val="16420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592"/>
        <c:crosses val="autoZero"/>
        <c:auto val="1"/>
        <c:lblAlgn val="ctr"/>
        <c:lblOffset val="100"/>
        <c:noMultiLvlLbl val="0"/>
      </c:catAx>
      <c:valAx>
        <c:axId val="164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</a:t>
            </a:r>
            <a:r>
              <a:rPr lang="en-US" baseline="0"/>
              <a:t> </a:t>
            </a:r>
            <a:r>
              <a:rPr lang="en-US"/>
              <a:t>Cumulative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'Design Project(74K)'!$Q$19:$Q$24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'Design Project(74K)'!$R$19:$R$24</c:f>
              <c:numCache>
                <c:formatCode>General</c:formatCode>
                <c:ptCount val="6"/>
                <c:pt idx="0">
                  <c:v>-361000</c:v>
                </c:pt>
                <c:pt idx="1">
                  <c:v>-231558.89929727386</c:v>
                </c:pt>
                <c:pt idx="2">
                  <c:v>-126441.54522197257</c:v>
                </c:pt>
                <c:pt idx="3">
                  <c:v>-70363.247430733201</c:v>
                </c:pt>
                <c:pt idx="4">
                  <c:v>-28609.312131811494</c:v>
                </c:pt>
                <c:pt idx="5">
                  <c:v>-6.7835614026989788E-4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E-D84C-98DF-115C5CF3D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456"/>
        <c:axId val="62790784"/>
      </c:scatterChart>
      <c:valAx>
        <c:axId val="627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784"/>
        <c:crosses val="autoZero"/>
        <c:crossBetween val="midCat"/>
      </c:valAx>
      <c:valAx>
        <c:axId val="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Project(79K)'!$H$2:$H$7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Project(79K)'!$I$2:$I$7</c:f>
              <c:numCache>
                <c:formatCode>General</c:formatCode>
                <c:ptCount val="6"/>
                <c:pt idx="0">
                  <c:v>-469698.48</c:v>
                </c:pt>
                <c:pt idx="1">
                  <c:v>528114.59905519523</c:v>
                </c:pt>
                <c:pt idx="2">
                  <c:v>528114.59905519523</c:v>
                </c:pt>
                <c:pt idx="3">
                  <c:v>528114.59905519523</c:v>
                </c:pt>
                <c:pt idx="4">
                  <c:v>528114.59905519523</c:v>
                </c:pt>
                <c:pt idx="5">
                  <c:v>528114.59905519523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0-4440-A5EB-B28AED30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46368"/>
        <c:axId val="1636440288"/>
      </c:barChart>
      <c:catAx>
        <c:axId val="16380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0288"/>
        <c:crosses val="autoZero"/>
        <c:auto val="1"/>
        <c:lblAlgn val="ctr"/>
        <c:lblOffset val="100"/>
        <c:noMultiLvlLbl val="0"/>
      </c:catAx>
      <c:valAx>
        <c:axId val="1636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Project(79K)'!$D$19:$D$24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Project(79K)'!$M$19:$M$24</c:f>
              <c:numCache>
                <c:formatCode>_("$"* #,##0.00_);_("$"* \(#,##0.00\);_("$"* "-"??_);_(@_)</c:formatCode>
                <c:ptCount val="6"/>
                <c:pt idx="0">
                  <c:v>-469698.48</c:v>
                </c:pt>
                <c:pt idx="1">
                  <c:v>211358.13102721327</c:v>
                </c:pt>
                <c:pt idx="2">
                  <c:v>128151.87614996867</c:v>
                </c:pt>
                <c:pt idx="3">
                  <c:v>63883.652805195503</c:v>
                </c:pt>
                <c:pt idx="4">
                  <c:v>37372.11214896095</c:v>
                </c:pt>
                <c:pt idx="5">
                  <c:v>28932.655316947323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3-4347-888B-0D4AA1D85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48784"/>
        <c:axId val="1641758592"/>
      </c:barChart>
      <c:catAx>
        <c:axId val="16420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592"/>
        <c:crosses val="autoZero"/>
        <c:auto val="1"/>
        <c:lblAlgn val="ctr"/>
        <c:lblOffset val="100"/>
        <c:noMultiLvlLbl val="0"/>
      </c:catAx>
      <c:valAx>
        <c:axId val="164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</a:t>
            </a:r>
            <a:r>
              <a:rPr lang="en-US" baseline="0"/>
              <a:t> </a:t>
            </a:r>
            <a:r>
              <a:rPr lang="en-US"/>
              <a:t>Cumulative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'Design Project(79K)'!$Q$19:$Q$24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'Design Project(79K)'!$R$19:$R$24</c:f>
              <c:numCache>
                <c:formatCode>General</c:formatCode>
                <c:ptCount val="6"/>
                <c:pt idx="0">
                  <c:v>-361000</c:v>
                </c:pt>
                <c:pt idx="1">
                  <c:v>-231558.89929727386</c:v>
                </c:pt>
                <c:pt idx="2">
                  <c:v>-126441.54522197257</c:v>
                </c:pt>
                <c:pt idx="3">
                  <c:v>-70363.247430733201</c:v>
                </c:pt>
                <c:pt idx="4">
                  <c:v>-28609.312131811494</c:v>
                </c:pt>
                <c:pt idx="5">
                  <c:v>-6.7835614026989788E-4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C-5141-925E-152B5C3C4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456"/>
        <c:axId val="62790784"/>
      </c:scatterChart>
      <c:valAx>
        <c:axId val="627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784"/>
        <c:crosses val="autoZero"/>
        <c:crossBetween val="midCat"/>
      </c:valAx>
      <c:valAx>
        <c:axId val="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Project(82K)'!$H$2:$H$7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Project(82K)'!$I$2:$I$7</c:f>
              <c:numCache>
                <c:formatCode>General</c:formatCode>
                <c:ptCount val="6"/>
                <c:pt idx="0">
                  <c:v>-457948.48</c:v>
                </c:pt>
                <c:pt idx="1">
                  <c:v>646147.37893232633</c:v>
                </c:pt>
                <c:pt idx="2">
                  <c:v>646147.37893232633</c:v>
                </c:pt>
                <c:pt idx="3">
                  <c:v>646147.37893232633</c:v>
                </c:pt>
                <c:pt idx="4">
                  <c:v>646147.37893232633</c:v>
                </c:pt>
                <c:pt idx="5">
                  <c:v>646147.37893232633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F-384E-B019-20393143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46368"/>
        <c:axId val="1636440288"/>
      </c:barChart>
      <c:catAx>
        <c:axId val="16380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0288"/>
        <c:crosses val="autoZero"/>
        <c:auto val="1"/>
        <c:lblAlgn val="ctr"/>
        <c:lblOffset val="100"/>
        <c:noMultiLvlLbl val="0"/>
      </c:catAx>
      <c:valAx>
        <c:axId val="1636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Project(82K)'!$D$19:$D$24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Project(82K)'!$M$19:$M$24</c:f>
              <c:numCache>
                <c:formatCode>_("$"* #,##0.00_);_("$"* \(#,##0.00\);_("$"* "-"??_);_(@_)</c:formatCode>
                <c:ptCount val="6"/>
                <c:pt idx="0">
                  <c:v>-457948.48</c:v>
                </c:pt>
                <c:pt idx="1">
                  <c:v>227227.935470047</c:v>
                </c:pt>
                <c:pt idx="2">
                  <c:v>123407.07153734007</c:v>
                </c:pt>
                <c:pt idx="3">
                  <c:v>57088.084448107031</c:v>
                </c:pt>
                <c:pt idx="4">
                  <c:v>30147.581482097372</c:v>
                </c:pt>
                <c:pt idx="5">
                  <c:v>20077.758605226536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3-7C4E-9767-55C74C6A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48784"/>
        <c:axId val="1641758592"/>
      </c:barChart>
      <c:catAx>
        <c:axId val="16420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592"/>
        <c:crosses val="autoZero"/>
        <c:auto val="1"/>
        <c:lblAlgn val="ctr"/>
        <c:lblOffset val="100"/>
        <c:noMultiLvlLbl val="0"/>
      </c:catAx>
      <c:valAx>
        <c:axId val="164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</a:t>
            </a:r>
            <a:r>
              <a:rPr lang="en-US" baseline="0"/>
              <a:t> </a:t>
            </a:r>
            <a:r>
              <a:rPr lang="en-US"/>
              <a:t>Cumulative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'Design Project(82K)'!$Q$19:$Q$24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'Design Project(82K)'!$R$19:$R$24</c:f>
              <c:numCache>
                <c:formatCode>General</c:formatCode>
                <c:ptCount val="6"/>
                <c:pt idx="0">
                  <c:v>-361000</c:v>
                </c:pt>
                <c:pt idx="1">
                  <c:v>-231558.89929727386</c:v>
                </c:pt>
                <c:pt idx="2">
                  <c:v>-126441.54522197257</c:v>
                </c:pt>
                <c:pt idx="3">
                  <c:v>-70363.247430733201</c:v>
                </c:pt>
                <c:pt idx="4">
                  <c:v>-28609.312131811494</c:v>
                </c:pt>
                <c:pt idx="5">
                  <c:v>-6.7835614026989788E-4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6-094F-B049-439065E2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456"/>
        <c:axId val="62790784"/>
      </c:scatterChart>
      <c:valAx>
        <c:axId val="627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784"/>
        <c:crosses val="autoZero"/>
        <c:crossBetween val="midCat"/>
      </c:valAx>
      <c:valAx>
        <c:axId val="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Project(85K)'!$H$2:$H$7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Project(85K)'!$I$2:$I$7</c:f>
              <c:numCache>
                <c:formatCode>General</c:formatCode>
                <c:ptCount val="6"/>
                <c:pt idx="0">
                  <c:v>-470873.48</c:v>
                </c:pt>
                <c:pt idx="1">
                  <c:v>727870.41948262602</c:v>
                </c:pt>
                <c:pt idx="2">
                  <c:v>727870.41948262602</c:v>
                </c:pt>
                <c:pt idx="3">
                  <c:v>727870.41948262602</c:v>
                </c:pt>
                <c:pt idx="4">
                  <c:v>727870.41948262602</c:v>
                </c:pt>
                <c:pt idx="5">
                  <c:v>727870.41948262602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F-7746-A505-CAFE9FA1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46368"/>
        <c:axId val="1636440288"/>
      </c:barChart>
      <c:catAx>
        <c:axId val="16380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0288"/>
        <c:crosses val="autoZero"/>
        <c:auto val="1"/>
        <c:lblAlgn val="ctr"/>
        <c:lblOffset val="100"/>
        <c:noMultiLvlLbl val="0"/>
      </c:catAx>
      <c:valAx>
        <c:axId val="1636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</a:t>
            </a:r>
            <a:r>
              <a:rPr lang="en-US" baseline="0"/>
              <a:t> Cash Flow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'Design Project(60K)'!$D$19:$D$24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Project(60K)'!$M$19:$M$24</c:f>
              <c:numCache>
                <c:formatCode>_("$"* #,##0.00_);_("$"* \(#,##0.00\);_("$"* "-"??_);_(@_)</c:formatCode>
                <c:ptCount val="6"/>
                <c:pt idx="0">
                  <c:v>-436798.48</c:v>
                </c:pt>
                <c:pt idx="1">
                  <c:v>-9415.8553827652795</c:v>
                </c:pt>
                <c:pt idx="2">
                  <c:v>4977.7808592347137</c:v>
                </c:pt>
                <c:pt idx="3">
                  <c:v>-42824.764271965323</c:v>
                </c:pt>
                <c:pt idx="4">
                  <c:v>-42837.491463965431</c:v>
                </c:pt>
                <c:pt idx="5">
                  <c:v>61668.082253234628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4-5341-995D-3DB52079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48784"/>
        <c:axId val="1641758592"/>
      </c:barChart>
      <c:catAx>
        <c:axId val="164204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592"/>
        <c:crosses val="autoZero"/>
        <c:auto val="1"/>
        <c:lblAlgn val="ctr"/>
        <c:lblOffset val="100"/>
        <c:noMultiLvlLbl val="0"/>
      </c:catAx>
      <c:valAx>
        <c:axId val="164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Project(85K)'!$D$19:$D$24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Project(85K)'!$M$19:$M$24</c:f>
              <c:numCache>
                <c:formatCode>_("$"* #,##0.00_);_("$"* \(#,##0.00\);_("$"* "-"??_);_(@_)</c:formatCode>
                <c:ptCount val="6"/>
                <c:pt idx="0">
                  <c:v>-470873.48</c:v>
                </c:pt>
                <c:pt idx="1">
                  <c:v>242747.89297601549</c:v>
                </c:pt>
                <c:pt idx="2">
                  <c:v>125809.74421851317</c:v>
                </c:pt>
                <c:pt idx="3">
                  <c:v>56202.678768737205</c:v>
                </c:pt>
                <c:pt idx="4">
                  <c:v>28394.01996421818</c:v>
                </c:pt>
                <c:pt idx="5">
                  <c:v>17719.121774473155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B-4E47-B097-75F0A8A1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48784"/>
        <c:axId val="1641758592"/>
      </c:barChart>
      <c:catAx>
        <c:axId val="16420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592"/>
        <c:crosses val="autoZero"/>
        <c:auto val="1"/>
        <c:lblAlgn val="ctr"/>
        <c:lblOffset val="100"/>
        <c:noMultiLvlLbl val="0"/>
      </c:catAx>
      <c:valAx>
        <c:axId val="164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</a:t>
            </a:r>
            <a:r>
              <a:rPr lang="en-US" baseline="0"/>
              <a:t> </a:t>
            </a:r>
            <a:r>
              <a:rPr lang="en-US"/>
              <a:t>Cumulative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'Design Project(85K)'!$Q$19:$Q$24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'Design Project(85K)'!$R$19:$R$24</c:f>
              <c:numCache>
                <c:formatCode>General</c:formatCode>
                <c:ptCount val="6"/>
                <c:pt idx="0">
                  <c:v>-361000</c:v>
                </c:pt>
                <c:pt idx="1">
                  <c:v>-231558.89929727386</c:v>
                </c:pt>
                <c:pt idx="2">
                  <c:v>-126441.54522197257</c:v>
                </c:pt>
                <c:pt idx="3">
                  <c:v>-70363.247430733201</c:v>
                </c:pt>
                <c:pt idx="4">
                  <c:v>-28609.312131811494</c:v>
                </c:pt>
                <c:pt idx="5">
                  <c:v>-6.7835614026989788E-4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0-EA4A-ACD0-3753A3201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456"/>
        <c:axId val="62790784"/>
      </c:scatterChart>
      <c:valAx>
        <c:axId val="627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784"/>
        <c:crosses val="autoZero"/>
        <c:crossBetween val="midCat"/>
      </c:valAx>
      <c:valAx>
        <c:axId val="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Project(89K)'!$H$2:$H$7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Project(89K)'!$I$2:$I$7</c:f>
              <c:numCache>
                <c:formatCode>General</c:formatCode>
                <c:ptCount val="6"/>
                <c:pt idx="0">
                  <c:v>-450898.48</c:v>
                </c:pt>
                <c:pt idx="1">
                  <c:v>871004.32959648967</c:v>
                </c:pt>
                <c:pt idx="2">
                  <c:v>871004.32959648967</c:v>
                </c:pt>
                <c:pt idx="3">
                  <c:v>871004.32959648967</c:v>
                </c:pt>
                <c:pt idx="4">
                  <c:v>871004.32959648967</c:v>
                </c:pt>
                <c:pt idx="5">
                  <c:v>871004.32959648967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3-DA45-B180-1FD8F7EF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46368"/>
        <c:axId val="1636440288"/>
      </c:barChart>
      <c:catAx>
        <c:axId val="16380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0288"/>
        <c:crosses val="autoZero"/>
        <c:auto val="1"/>
        <c:lblAlgn val="ctr"/>
        <c:lblOffset val="100"/>
        <c:noMultiLvlLbl val="0"/>
      </c:catAx>
      <c:valAx>
        <c:axId val="1636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Project(89K)'!$D$19:$D$24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Project(89K)'!$M$19:$M$24</c:f>
              <c:numCache>
                <c:formatCode>_("$"* #,##0.00_);_("$"* \(#,##0.00\);_("$"* "-"??_);_(@_)</c:formatCode>
                <c:ptCount val="6"/>
                <c:pt idx="0">
                  <c:v>-450898.48</c:v>
                </c:pt>
                <c:pt idx="1">
                  <c:v>253918.85034589822</c:v>
                </c:pt>
                <c:pt idx="2">
                  <c:v>116666.39183323723</c:v>
                </c:pt>
                <c:pt idx="3">
                  <c:v>47436.820551555611</c:v>
                </c:pt>
                <c:pt idx="4">
                  <c:v>21389.957654766589</c:v>
                </c:pt>
                <c:pt idx="5">
                  <c:v>11486.444322777061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8-434E-84A9-6A744B03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48784"/>
        <c:axId val="1641758592"/>
      </c:barChart>
      <c:catAx>
        <c:axId val="16420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592"/>
        <c:crosses val="autoZero"/>
        <c:auto val="1"/>
        <c:lblAlgn val="ctr"/>
        <c:lblOffset val="100"/>
        <c:noMultiLvlLbl val="0"/>
      </c:catAx>
      <c:valAx>
        <c:axId val="164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</a:t>
            </a:r>
            <a:r>
              <a:rPr lang="en-US" baseline="0"/>
              <a:t> </a:t>
            </a:r>
            <a:r>
              <a:rPr lang="en-US"/>
              <a:t>Cumulative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'Design Project(89K)'!$Q$19:$Q$24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'Design Project(89K)'!$R$19:$R$24</c:f>
              <c:numCache>
                <c:formatCode>General</c:formatCode>
                <c:ptCount val="6"/>
                <c:pt idx="0">
                  <c:v>-361000</c:v>
                </c:pt>
                <c:pt idx="1">
                  <c:v>-231558.89929727386</c:v>
                </c:pt>
                <c:pt idx="2">
                  <c:v>-126441.54522197257</c:v>
                </c:pt>
                <c:pt idx="3">
                  <c:v>-70363.247430733201</c:v>
                </c:pt>
                <c:pt idx="4">
                  <c:v>-28609.312131811494</c:v>
                </c:pt>
                <c:pt idx="5">
                  <c:v>-6.7835614026989788E-4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C-4846-8D17-27A59CE96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456"/>
        <c:axId val="62790784"/>
      </c:scatterChart>
      <c:valAx>
        <c:axId val="627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784"/>
        <c:crosses val="autoZero"/>
        <c:crossBetween val="midCat"/>
      </c:valAx>
      <c:valAx>
        <c:axId val="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</a:t>
            </a:r>
            <a:r>
              <a:rPr lang="en-US" baseline="0"/>
              <a:t> </a:t>
            </a:r>
            <a:r>
              <a:rPr lang="en-US"/>
              <a:t>Cumulative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'Design Project(60K)'!$Q$19:$Q$25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xVal>
          <c:yVal>
            <c:numRef>
              <c:f>'Design Project(60K)'!$R$19:$R$25</c:f>
              <c:numCache>
                <c:formatCode>_("$"* #,##0.00_);_("$"* \(#,##0.00\);_("$"* "-"??_);_(@_)</c:formatCode>
                <c:ptCount val="7"/>
                <c:pt idx="0">
                  <c:v>-436798.48</c:v>
                </c:pt>
                <c:pt idx="1">
                  <c:v>-446214.33538276528</c:v>
                </c:pt>
                <c:pt idx="2">
                  <c:v>-441236.55452353053</c:v>
                </c:pt>
                <c:pt idx="3">
                  <c:v>-484061.31879549584</c:v>
                </c:pt>
                <c:pt idx="4">
                  <c:v>-526898.81025946129</c:v>
                </c:pt>
                <c:pt idx="5">
                  <c:v>-579301.93800622667</c:v>
                </c:pt>
                <c:pt idx="6">
                  <c:v>-465230.72800622671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0-FF4F-98F8-989CB9A2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456"/>
        <c:axId val="62790784"/>
      </c:scatterChart>
      <c:valAx>
        <c:axId val="627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784"/>
        <c:crosses val="autoZero"/>
        <c:crossBetween val="midCat"/>
      </c:valAx>
      <c:valAx>
        <c:axId val="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Project(66K)'!$H$2:$H$7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Project(66K)'!$I$2:$I$7</c:f>
              <c:numCache>
                <c:formatCode>General</c:formatCode>
                <c:ptCount val="6"/>
                <c:pt idx="0">
                  <c:v>-425048.48</c:v>
                </c:pt>
                <c:pt idx="1">
                  <c:v>137140.8966714039</c:v>
                </c:pt>
                <c:pt idx="2">
                  <c:v>137140.8966714039</c:v>
                </c:pt>
                <c:pt idx="3">
                  <c:v>137140.8966714039</c:v>
                </c:pt>
                <c:pt idx="4">
                  <c:v>137140.8966714039</c:v>
                </c:pt>
                <c:pt idx="5">
                  <c:v>137140.8966714039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7-B94F-8BA9-B4CE51BE5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46368"/>
        <c:axId val="1636440288"/>
      </c:barChart>
      <c:catAx>
        <c:axId val="16380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0288"/>
        <c:crosses val="autoZero"/>
        <c:auto val="1"/>
        <c:lblAlgn val="ctr"/>
        <c:lblOffset val="100"/>
        <c:noMultiLvlLbl val="0"/>
      </c:catAx>
      <c:valAx>
        <c:axId val="1636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Cash Flow Diagram For Alabama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Project(66K)'!$D$19:$D$24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Project(66K)'!$M$19:$M$24</c:f>
              <c:numCache>
                <c:formatCode>_("$"* #,##0.00_);_("$"* \(#,##0.00\);_("$"* "-"??_);_(@_)</c:formatCode>
                <c:ptCount val="6"/>
                <c:pt idx="0">
                  <c:v>-425048.48</c:v>
                </c:pt>
                <c:pt idx="1">
                  <c:v>108165.03263160164</c:v>
                </c:pt>
                <c:pt idx="2">
                  <c:v>105021.16849396138</c:v>
                </c:pt>
                <c:pt idx="3">
                  <c:v>60229.14650527553</c:v>
                </c:pt>
                <c:pt idx="4">
                  <c:v>53110.511730162463</c:v>
                </c:pt>
                <c:pt idx="5">
                  <c:v>98522.620640110443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5-0244-A540-617D25BC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48784"/>
        <c:axId val="1641758592"/>
      </c:barChart>
      <c:catAx>
        <c:axId val="164204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592"/>
        <c:crosses val="autoZero"/>
        <c:auto val="1"/>
        <c:lblAlgn val="ctr"/>
        <c:lblOffset val="100"/>
        <c:noMultiLvlLbl val="0"/>
      </c:catAx>
      <c:valAx>
        <c:axId val="164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</a:t>
            </a:r>
            <a:r>
              <a:rPr lang="en-US" baseline="0"/>
              <a:t> </a:t>
            </a:r>
            <a:r>
              <a:rPr lang="en-US"/>
              <a:t>Cumulative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'Design Project(66K)'!$Q$19:$Q$24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'Design Project(66K)'!$R$19:$R$24</c:f>
              <c:numCache>
                <c:formatCode>General</c:formatCode>
                <c:ptCount val="6"/>
                <c:pt idx="0">
                  <c:v>-361000</c:v>
                </c:pt>
                <c:pt idx="1">
                  <c:v>-231558.89929727386</c:v>
                </c:pt>
                <c:pt idx="2">
                  <c:v>-126441.54522197257</c:v>
                </c:pt>
                <c:pt idx="3">
                  <c:v>-70363.247430733201</c:v>
                </c:pt>
                <c:pt idx="4">
                  <c:v>-28609.312131811494</c:v>
                </c:pt>
                <c:pt idx="5">
                  <c:v>-6.7835614026989788E-4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2-C443-9477-EB2F475C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456"/>
        <c:axId val="62790784"/>
      </c:scatterChart>
      <c:valAx>
        <c:axId val="627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784"/>
        <c:crosses val="autoZero"/>
        <c:crossBetween val="midCat"/>
      </c:valAx>
      <c:valAx>
        <c:axId val="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Project(69K)'!$H$2:$H$7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Project(69K)'!$I$2:$I$7</c:f>
              <c:numCache>
                <c:formatCode>General</c:formatCode>
                <c:ptCount val="6"/>
                <c:pt idx="0">
                  <c:v>-445023.48</c:v>
                </c:pt>
                <c:pt idx="1">
                  <c:v>210076.6089627028</c:v>
                </c:pt>
                <c:pt idx="2">
                  <c:v>210076.6089627028</c:v>
                </c:pt>
                <c:pt idx="3">
                  <c:v>210076.6089627028</c:v>
                </c:pt>
                <c:pt idx="4">
                  <c:v>210076.6089627028</c:v>
                </c:pt>
                <c:pt idx="5">
                  <c:v>210076.6089627028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0648-A772-C483D14D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46368"/>
        <c:axId val="1636440288"/>
      </c:barChart>
      <c:catAx>
        <c:axId val="16380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0288"/>
        <c:crosses val="autoZero"/>
        <c:auto val="1"/>
        <c:lblAlgn val="ctr"/>
        <c:lblOffset val="100"/>
        <c:noMultiLvlLbl val="0"/>
      </c:catAx>
      <c:valAx>
        <c:axId val="1636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 Cash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'Design Project(69K)'!$D$19:$D$24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Project(69K)'!$M$19:$M$24</c:f>
              <c:numCache>
                <c:formatCode>_("$"* #,##0.00_);_("$"* \(#,##0.00\);_("$"* "-"??_);_(@_)</c:formatCode>
                <c:ptCount val="6"/>
                <c:pt idx="0">
                  <c:v>-445023.48</c:v>
                </c:pt>
                <c:pt idx="1">
                  <c:v>134656.83791441875</c:v>
                </c:pt>
                <c:pt idx="2">
                  <c:v>115913.59703960968</c:v>
                </c:pt>
                <c:pt idx="3">
                  <c:v>65613.246420820506</c:v>
                </c:pt>
                <c:pt idx="4">
                  <c:v>53509.380706977034</c:v>
                </c:pt>
                <c:pt idx="5">
                  <c:v>75330.290420607969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B-7747-8802-B808E68E3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48784"/>
        <c:axId val="1641758592"/>
      </c:barChart>
      <c:catAx>
        <c:axId val="164204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592"/>
        <c:crosses val="autoZero"/>
        <c:auto val="1"/>
        <c:lblAlgn val="ctr"/>
        <c:lblOffset val="100"/>
        <c:noMultiLvlLbl val="0"/>
      </c:catAx>
      <c:valAx>
        <c:axId val="164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 Cumulative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'Design Project(69K)'!$Q$19:$Q$25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xVal>
          <c:yVal>
            <c:numRef>
              <c:f>'Design Project(69K)'!$R$19:$R$25</c:f>
              <c:numCache>
                <c:formatCode>_("$"* #,##0.00_);_("$"* \(#,##0.00\);_("$"* "-"??_);_(@_)</c:formatCode>
                <c:ptCount val="7"/>
                <c:pt idx="0">
                  <c:v>-445023.48</c:v>
                </c:pt>
                <c:pt idx="1">
                  <c:v>-310366.6420855812</c:v>
                </c:pt>
                <c:pt idx="2">
                  <c:v>-194453.04504597152</c:v>
                </c:pt>
                <c:pt idx="3">
                  <c:v>-128839.79862515102</c:v>
                </c:pt>
                <c:pt idx="4">
                  <c:v>-75330.417918173975</c:v>
                </c:pt>
                <c:pt idx="5">
                  <c:v>-35987.60863345016</c:v>
                </c:pt>
                <c:pt idx="6">
                  <c:v>-0.1286334501564852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F-3F4D-9F44-8D691C0A0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456"/>
        <c:axId val="62790784"/>
      </c:scatterChart>
      <c:valAx>
        <c:axId val="627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784"/>
        <c:crosses val="autoZero"/>
        <c:crossBetween val="midCat"/>
      </c:valAx>
      <c:valAx>
        <c:axId val="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0</xdr:rowOff>
    </xdr:from>
    <xdr:to>
      <xdr:col>15</xdr:col>
      <xdr:colOff>793750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4B6DD-F134-4B46-BBA9-8B9FFB023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28</xdr:row>
      <xdr:rowOff>104775</xdr:rowOff>
    </xdr:from>
    <xdr:to>
      <xdr:col>10</xdr:col>
      <xdr:colOff>279400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C2235-3791-E54C-96EB-28902EA4E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1647825</xdr:colOff>
      <xdr:row>26</xdr:row>
      <xdr:rowOff>152400</xdr:rowOff>
    </xdr:from>
    <xdr:to>
      <xdr:col>19</xdr:col>
      <xdr:colOff>47625</xdr:colOff>
      <xdr:row>50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1B1E06-DDEB-4A49-A911-D0FD7F1AC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0</xdr:rowOff>
    </xdr:from>
    <xdr:to>
      <xdr:col>15</xdr:col>
      <xdr:colOff>793750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FEDCF-DAD3-A349-B958-C8360A208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28</xdr:row>
      <xdr:rowOff>104775</xdr:rowOff>
    </xdr:from>
    <xdr:to>
      <xdr:col>10</xdr:col>
      <xdr:colOff>279400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7F60CB-7E9A-A245-9E2B-B351D94B3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250825</xdr:colOff>
      <xdr:row>38</xdr:row>
      <xdr:rowOff>41275</xdr:rowOff>
    </xdr:from>
    <xdr:to>
      <xdr:col>17</xdr:col>
      <xdr:colOff>301625</xdr:colOff>
      <xdr:row>61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D723BE-9647-B144-A897-6DD47580F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0</xdr:rowOff>
    </xdr:from>
    <xdr:to>
      <xdr:col>15</xdr:col>
      <xdr:colOff>793750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27048-E0BF-F14E-892C-648137778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28</xdr:row>
      <xdr:rowOff>104775</xdr:rowOff>
    </xdr:from>
    <xdr:to>
      <xdr:col>10</xdr:col>
      <xdr:colOff>279400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5E213-1BF5-6746-B3FC-88A795D58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1203325</xdr:colOff>
      <xdr:row>34</xdr:row>
      <xdr:rowOff>73025</xdr:rowOff>
    </xdr:from>
    <xdr:to>
      <xdr:col>18</xdr:col>
      <xdr:colOff>190500</xdr:colOff>
      <xdr:row>57</xdr:row>
      <xdr:rowOff>187325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945A47-6F66-B442-A9DC-3A8E65C7A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0</xdr:rowOff>
    </xdr:from>
    <xdr:to>
      <xdr:col>15</xdr:col>
      <xdr:colOff>793750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4CE4F-57D5-5D42-A4DA-CBFB4DACD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28</xdr:row>
      <xdr:rowOff>104775</xdr:rowOff>
    </xdr:from>
    <xdr:to>
      <xdr:col>10</xdr:col>
      <xdr:colOff>279400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D4F55-CB0D-1B47-B54C-8A691EB20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250825</xdr:colOff>
      <xdr:row>38</xdr:row>
      <xdr:rowOff>41275</xdr:rowOff>
    </xdr:from>
    <xdr:to>
      <xdr:col>17</xdr:col>
      <xdr:colOff>301625</xdr:colOff>
      <xdr:row>61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8CEB6E-71D2-A743-A27F-DC3D99825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0</xdr:rowOff>
    </xdr:from>
    <xdr:to>
      <xdr:col>15</xdr:col>
      <xdr:colOff>793750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B4C82-63C4-EC44-8901-6DC76CE5E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28</xdr:row>
      <xdr:rowOff>104775</xdr:rowOff>
    </xdr:from>
    <xdr:to>
      <xdr:col>10</xdr:col>
      <xdr:colOff>279400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0C35D-B47B-4D4E-93CE-D8BA99E78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250825</xdr:colOff>
      <xdr:row>38</xdr:row>
      <xdr:rowOff>41275</xdr:rowOff>
    </xdr:from>
    <xdr:to>
      <xdr:col>17</xdr:col>
      <xdr:colOff>301625</xdr:colOff>
      <xdr:row>61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90338-43F1-A84C-A13B-C90AC296D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0</xdr:rowOff>
    </xdr:from>
    <xdr:to>
      <xdr:col>15</xdr:col>
      <xdr:colOff>793750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2F321-8927-684F-B1D3-EC83D977E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28</xdr:row>
      <xdr:rowOff>104775</xdr:rowOff>
    </xdr:from>
    <xdr:to>
      <xdr:col>10</xdr:col>
      <xdr:colOff>279400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64DD3C-39E2-0E47-AB13-975967181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250825</xdr:colOff>
      <xdr:row>38</xdr:row>
      <xdr:rowOff>41275</xdr:rowOff>
    </xdr:from>
    <xdr:to>
      <xdr:col>17</xdr:col>
      <xdr:colOff>301625</xdr:colOff>
      <xdr:row>61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991F72-CEF1-9549-9BBD-AC29BD623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0</xdr:rowOff>
    </xdr:from>
    <xdr:to>
      <xdr:col>15</xdr:col>
      <xdr:colOff>793750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4B95-1559-224A-B047-0364E6D39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28</xdr:row>
      <xdr:rowOff>104775</xdr:rowOff>
    </xdr:from>
    <xdr:to>
      <xdr:col>10</xdr:col>
      <xdr:colOff>279400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ED4CF-4AEA-3446-BB0E-6E92D23E7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250825</xdr:colOff>
      <xdr:row>38</xdr:row>
      <xdr:rowOff>41275</xdr:rowOff>
    </xdr:from>
    <xdr:to>
      <xdr:col>17</xdr:col>
      <xdr:colOff>301625</xdr:colOff>
      <xdr:row>61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49A508-1059-FB41-97B8-AF41FA0EA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0</xdr:rowOff>
    </xdr:from>
    <xdr:to>
      <xdr:col>15</xdr:col>
      <xdr:colOff>793750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3F95B-3F2A-6848-A46D-6569B65B4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28</xdr:row>
      <xdr:rowOff>104775</xdr:rowOff>
    </xdr:from>
    <xdr:to>
      <xdr:col>10</xdr:col>
      <xdr:colOff>279400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B1F5D-C1B9-F94E-9AAF-1518092A7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250825</xdr:colOff>
      <xdr:row>38</xdr:row>
      <xdr:rowOff>41275</xdr:rowOff>
    </xdr:from>
    <xdr:to>
      <xdr:col>17</xdr:col>
      <xdr:colOff>301625</xdr:colOff>
      <xdr:row>61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75E9C1-83F3-A944-A8FA-7D136CBA8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5B48-4249-CB44-840E-F69C39CF4510}">
  <dimension ref="A1:R32"/>
  <sheetViews>
    <sheetView zoomScale="80" zoomScaleNormal="80" workbookViewId="0">
      <selection activeCell="C7" sqref="C7"/>
    </sheetView>
  </sheetViews>
  <sheetFormatPr baseColWidth="10" defaultRowHeight="15" x14ac:dyDescent="0.2"/>
  <cols>
    <col min="3" max="3" width="14.33203125" bestFit="1" customWidth="1"/>
    <col min="6" max="6" width="12.83203125" bestFit="1" customWidth="1"/>
    <col min="7" max="7" width="14.33203125" bestFit="1" customWidth="1"/>
    <col min="8" max="8" width="14.5" bestFit="1" customWidth="1"/>
    <col min="11" max="11" width="14.5" customWidth="1"/>
    <col min="12" max="12" width="31.83203125" customWidth="1"/>
    <col min="13" max="13" width="14.6640625" customWidth="1"/>
    <col min="14" max="14" width="22" customWidth="1"/>
    <col min="18" max="18" width="13.5" bestFit="1" customWidth="1"/>
  </cols>
  <sheetData>
    <row r="1" spans="1:9" x14ac:dyDescent="0.2">
      <c r="A1" t="s">
        <v>27</v>
      </c>
      <c r="B1" t="s">
        <v>26</v>
      </c>
      <c r="C1" s="3">
        <v>20848.48</v>
      </c>
      <c r="H1" t="s">
        <v>1</v>
      </c>
      <c r="I1" t="s">
        <v>6</v>
      </c>
    </row>
    <row r="2" spans="1:9" x14ac:dyDescent="0.2">
      <c r="A2" t="s">
        <v>25</v>
      </c>
      <c r="B2" t="s">
        <v>24</v>
      </c>
      <c r="C2" s="3">
        <f>'COMd Calculations'!B7</f>
        <v>354000</v>
      </c>
      <c r="H2">
        <v>0</v>
      </c>
      <c r="I2">
        <f>(C1+C2+C3)*-1</f>
        <v>-436798.48</v>
      </c>
    </row>
    <row r="3" spans="1:9" x14ac:dyDescent="0.2">
      <c r="A3" t="s">
        <v>23</v>
      </c>
      <c r="C3" s="26">
        <f>0.175*C2</f>
        <v>61949.999999999993</v>
      </c>
      <c r="H3">
        <v>1</v>
      </c>
      <c r="I3">
        <f t="shared" ref="I3:I7" si="0">$C$7-$C$8</f>
        <v>-87338.546244608937</v>
      </c>
    </row>
    <row r="4" spans="1:9" x14ac:dyDescent="0.2">
      <c r="H4">
        <v>2</v>
      </c>
      <c r="I4">
        <f t="shared" si="0"/>
        <v>-87338.546244608937</v>
      </c>
    </row>
    <row r="5" spans="1:9" x14ac:dyDescent="0.2">
      <c r="H5">
        <v>3</v>
      </c>
      <c r="I5">
        <f t="shared" si="0"/>
        <v>-87338.546244608937</v>
      </c>
    </row>
    <row r="6" spans="1:9" x14ac:dyDescent="0.2">
      <c r="H6">
        <v>4</v>
      </c>
      <c r="I6">
        <f t="shared" si="0"/>
        <v>-87338.546244608937</v>
      </c>
    </row>
    <row r="7" spans="1:9" x14ac:dyDescent="0.2">
      <c r="A7" t="s">
        <v>22</v>
      </c>
      <c r="B7" t="s">
        <v>21</v>
      </c>
      <c r="C7" s="3">
        <f>'COMd Calculations'!B31</f>
        <v>1983467.0776853911</v>
      </c>
      <c r="H7">
        <v>5</v>
      </c>
      <c r="I7">
        <f t="shared" si="0"/>
        <v>-87338.546244608937</v>
      </c>
    </row>
    <row r="8" spans="1:9" x14ac:dyDescent="0.2">
      <c r="A8" t="s">
        <v>20</v>
      </c>
      <c r="B8" t="s">
        <v>19</v>
      </c>
      <c r="C8" s="25">
        <f>'COMd Calculations'!B28</f>
        <v>2070805.62393</v>
      </c>
    </row>
    <row r="9" spans="1:9" x14ac:dyDescent="0.2">
      <c r="A9" t="s">
        <v>18</v>
      </c>
      <c r="B9" t="s">
        <v>17</v>
      </c>
      <c r="C9">
        <v>0.4</v>
      </c>
    </row>
    <row r="10" spans="1:9" x14ac:dyDescent="0.2">
      <c r="A10" t="s">
        <v>16</v>
      </c>
      <c r="B10" t="s">
        <v>15</v>
      </c>
      <c r="C10" s="32">
        <v>31272.73</v>
      </c>
    </row>
    <row r="11" spans="1:9" x14ac:dyDescent="0.2">
      <c r="A11" t="s">
        <v>14</v>
      </c>
    </row>
    <row r="12" spans="1:9" x14ac:dyDescent="0.2">
      <c r="A12" t="s">
        <v>13</v>
      </c>
      <c r="C12">
        <v>5</v>
      </c>
    </row>
    <row r="13" spans="1:9" x14ac:dyDescent="0.2">
      <c r="A13" t="s">
        <v>12</v>
      </c>
      <c r="C13">
        <v>0</v>
      </c>
    </row>
    <row r="14" spans="1:9" x14ac:dyDescent="0.2">
      <c r="A14" t="s">
        <v>11</v>
      </c>
      <c r="C14" s="31">
        <f>'COMd Calculations'!B3</f>
        <v>15900</v>
      </c>
    </row>
    <row r="18" spans="4:18" x14ac:dyDescent="0.2">
      <c r="D18" s="1" t="s">
        <v>1</v>
      </c>
      <c r="E18" s="1" t="s">
        <v>10</v>
      </c>
      <c r="F18" s="1" t="s">
        <v>9</v>
      </c>
      <c r="G18" s="1" t="s">
        <v>8</v>
      </c>
      <c r="H18" s="1" t="s">
        <v>7</v>
      </c>
      <c r="I18" s="1" t="s">
        <v>6</v>
      </c>
      <c r="J18" s="1" t="s">
        <v>5</v>
      </c>
      <c r="K18" s="1" t="s">
        <v>4</v>
      </c>
      <c r="L18" s="1" t="s">
        <v>3</v>
      </c>
      <c r="M18" s="1" t="s">
        <v>2</v>
      </c>
      <c r="N18" s="1" t="s">
        <v>0</v>
      </c>
      <c r="Q18" s="1" t="s">
        <v>1</v>
      </c>
      <c r="R18" t="s">
        <v>0</v>
      </c>
    </row>
    <row r="19" spans="4:18" x14ac:dyDescent="0.2">
      <c r="D19" s="1">
        <v>0</v>
      </c>
      <c r="E19" s="1"/>
      <c r="F19" s="1"/>
      <c r="G19" s="1"/>
      <c r="H19" s="27">
        <f>(C1+C2+C3)*-1</f>
        <v>-436798.48</v>
      </c>
      <c r="I19" s="1"/>
      <c r="J19" s="1"/>
      <c r="K19" s="13"/>
      <c r="L19" s="13">
        <f>H19</f>
        <v>-436798.48</v>
      </c>
      <c r="M19" s="13">
        <f>L19</f>
        <v>-436798.48</v>
      </c>
      <c r="N19" s="13">
        <f>M19</f>
        <v>-436798.48</v>
      </c>
      <c r="Q19" s="1">
        <v>0</v>
      </c>
      <c r="R19" s="13">
        <v>-436798.48</v>
      </c>
    </row>
    <row r="20" spans="4:18" x14ac:dyDescent="0.2">
      <c r="D20" s="1">
        <v>1</v>
      </c>
      <c r="E20" s="1">
        <v>0.33300000000000002</v>
      </c>
      <c r="F20" s="22">
        <f>($C$2-$C$10)*E20</f>
        <v>107468.18091000001</v>
      </c>
      <c r="G20" s="1">
        <f>$C$8</f>
        <v>2070805.62393</v>
      </c>
      <c r="H20" s="1">
        <f t="shared" ref="H20:H24" si="1">G20+F20</f>
        <v>2178273.8048399999</v>
      </c>
      <c r="I20" s="1">
        <f t="shared" ref="I20:I24" si="2">$C$7</f>
        <v>1983467.0776853911</v>
      </c>
      <c r="J20" s="1">
        <f t="shared" ref="J20:J24" si="3">(I20-H20)*$C$9</f>
        <v>-77922.690861843526</v>
      </c>
      <c r="K20" s="13">
        <f>I20-H20-J20</f>
        <v>-116884.03629276529</v>
      </c>
      <c r="L20" s="13">
        <f>K20+F20</f>
        <v>-9415.8553827652795</v>
      </c>
      <c r="M20" s="13">
        <f>L20/(1+C13)</f>
        <v>-9415.8553827652795</v>
      </c>
      <c r="N20" s="13">
        <f t="shared" ref="N20:N24" si="4">N19+M20</f>
        <v>-446214.33538276528</v>
      </c>
      <c r="Q20" s="1">
        <v>1</v>
      </c>
      <c r="R20" s="13">
        <v>-446214.33538276528</v>
      </c>
    </row>
    <row r="21" spans="4:18" x14ac:dyDescent="0.2">
      <c r="D21" s="1">
        <v>2</v>
      </c>
      <c r="E21" s="1">
        <v>0.44450000000000001</v>
      </c>
      <c r="F21" s="22">
        <f>($C$2-$C$10)*E21</f>
        <v>143452.271515</v>
      </c>
      <c r="G21" s="1">
        <f>$C$8</f>
        <v>2070805.62393</v>
      </c>
      <c r="H21" s="1">
        <f t="shared" si="1"/>
        <v>2214257.8954449999</v>
      </c>
      <c r="I21" s="1">
        <f t="shared" si="2"/>
        <v>1983467.0776853911</v>
      </c>
      <c r="J21" s="1">
        <f t="shared" si="3"/>
        <v>-92316.327103843549</v>
      </c>
      <c r="K21" s="13">
        <f>I21-H21-J21</f>
        <v>-138474.49065576529</v>
      </c>
      <c r="L21" s="13">
        <f t="shared" ref="L21:L22" si="5">K21+F21</f>
        <v>4977.7808592347137</v>
      </c>
      <c r="M21" s="13">
        <f>L21/(1+$C$13)^D21</f>
        <v>4977.7808592347137</v>
      </c>
      <c r="N21" s="13">
        <f t="shared" si="4"/>
        <v>-441236.55452353053</v>
      </c>
      <c r="Q21" s="1">
        <v>2</v>
      </c>
      <c r="R21" s="13">
        <v>-441236.55452353053</v>
      </c>
    </row>
    <row r="22" spans="4:18" x14ac:dyDescent="0.2">
      <c r="D22" s="1">
        <v>3</v>
      </c>
      <c r="E22" s="1">
        <v>0.14810000000000001</v>
      </c>
      <c r="F22" s="1">
        <f t="shared" ref="F22:F23" si="6">($C$2-$C$10)*E22</f>
        <v>47795.908687000003</v>
      </c>
      <c r="G22" s="22">
        <f>$C$8+C14</f>
        <v>2086705.62393</v>
      </c>
      <c r="H22" s="1">
        <f t="shared" si="1"/>
        <v>2134501.5326169999</v>
      </c>
      <c r="I22" s="1">
        <f t="shared" si="2"/>
        <v>1983467.0776853911</v>
      </c>
      <c r="J22" s="1">
        <f t="shared" si="3"/>
        <v>-60413.781972643548</v>
      </c>
      <c r="K22" s="13">
        <f>I22-H22-J22</f>
        <v>-90620.672958965326</v>
      </c>
      <c r="L22" s="13">
        <f t="shared" si="5"/>
        <v>-42824.764271965323</v>
      </c>
      <c r="M22" s="13">
        <f>L22/(1+$C$13)^D22</f>
        <v>-42824.764271965323</v>
      </c>
      <c r="N22" s="13">
        <f t="shared" si="4"/>
        <v>-484061.31879549584</v>
      </c>
      <c r="Q22" s="1">
        <v>3</v>
      </c>
      <c r="R22" s="13">
        <v>-484061.31879549584</v>
      </c>
    </row>
    <row r="23" spans="4:18" x14ac:dyDescent="0.2">
      <c r="D23" s="1">
        <v>4</v>
      </c>
      <c r="E23" s="1">
        <v>7.4099999999999999E-2</v>
      </c>
      <c r="F23" s="1">
        <f t="shared" si="6"/>
        <v>23914.090706999999</v>
      </c>
      <c r="G23" s="1">
        <f>$C$8</f>
        <v>2070805.62393</v>
      </c>
      <c r="H23" s="1">
        <f t="shared" si="1"/>
        <v>2094719.7146370001</v>
      </c>
      <c r="I23" s="1">
        <f t="shared" si="2"/>
        <v>1983467.0776853911</v>
      </c>
      <c r="J23" s="1">
        <f t="shared" si="3"/>
        <v>-44501.054780643623</v>
      </c>
      <c r="K23" s="13">
        <f>I23-H23-J23</f>
        <v>-66751.582170965426</v>
      </c>
      <c r="L23" s="13">
        <f>K23+F23</f>
        <v>-42837.491463965431</v>
      </c>
      <c r="M23" s="13">
        <f>L23/(1+$C$13)^D23</f>
        <v>-42837.491463965431</v>
      </c>
      <c r="N23" s="13">
        <f t="shared" si="4"/>
        <v>-526898.81025946129</v>
      </c>
      <c r="Q23" s="1">
        <v>4</v>
      </c>
      <c r="R23" s="13">
        <v>-526898.81025946129</v>
      </c>
    </row>
    <row r="24" spans="4:18" x14ac:dyDescent="0.2">
      <c r="D24" s="1">
        <v>5</v>
      </c>
      <c r="E24" s="1">
        <v>0</v>
      </c>
      <c r="F24" s="22">
        <f>($C$2-$C$10)*E24</f>
        <v>0</v>
      </c>
      <c r="G24" s="1">
        <f>$C$8</f>
        <v>2070805.62393</v>
      </c>
      <c r="H24" s="1">
        <f t="shared" si="1"/>
        <v>2070805.62393</v>
      </c>
      <c r="I24" s="1">
        <f t="shared" si="2"/>
        <v>1983467.0776853911</v>
      </c>
      <c r="J24" s="1">
        <f t="shared" si="3"/>
        <v>-34935.418497843573</v>
      </c>
      <c r="K24" s="13">
        <f>I24-H24-J24+C1+C3+C10</f>
        <v>61668.082253234628</v>
      </c>
      <c r="L24" s="13">
        <f>K24+F24</f>
        <v>61668.082253234628</v>
      </c>
      <c r="M24" s="13">
        <f>L24/(1+$C$13)^D24</f>
        <v>61668.082253234628</v>
      </c>
      <c r="N24" s="13">
        <f t="shared" si="4"/>
        <v>-465230.72800622665</v>
      </c>
      <c r="Q24" s="23">
        <v>5</v>
      </c>
      <c r="R24" s="13">
        <v>-579301.93800622667</v>
      </c>
    </row>
    <row r="25" spans="4:18" x14ac:dyDescent="0.2">
      <c r="D25" s="2"/>
      <c r="E25" s="2"/>
      <c r="F25" s="24"/>
      <c r="G25" s="2"/>
      <c r="H25" s="2"/>
      <c r="I25" s="2"/>
      <c r="J25" s="2"/>
      <c r="K25" s="2"/>
      <c r="L25" s="2"/>
      <c r="M25" s="2"/>
      <c r="N25" s="2"/>
      <c r="Q25" s="33">
        <v>5</v>
      </c>
      <c r="R25" s="34">
        <f>R24 +C1+C3+C10</f>
        <v>-465230.72800622671</v>
      </c>
    </row>
    <row r="26" spans="4:18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2"/>
      <c r="R26" s="2"/>
    </row>
    <row r="27" spans="4:18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2"/>
      <c r="R27" s="2"/>
    </row>
    <row r="28" spans="4:18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Q28" s="2"/>
      <c r="R28" s="2"/>
    </row>
    <row r="29" spans="4:18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2"/>
      <c r="R29" s="2"/>
    </row>
    <row r="30" spans="4:18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Q30" s="2"/>
      <c r="R30" s="2"/>
    </row>
    <row r="31" spans="4:18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4:18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6697D-ECC7-764E-8AA3-D78A1EB97764}">
  <dimension ref="A1:I14"/>
  <sheetViews>
    <sheetView workbookViewId="0">
      <selection activeCell="D5" sqref="D5"/>
    </sheetView>
  </sheetViews>
  <sheetFormatPr baseColWidth="10" defaultRowHeight="16" x14ac:dyDescent="0.2"/>
  <cols>
    <col min="1" max="1" width="21" style="4" customWidth="1"/>
    <col min="2" max="9" width="13" style="4" bestFit="1" customWidth="1"/>
    <col min="10" max="16384" width="10.83203125" style="4"/>
  </cols>
  <sheetData>
    <row r="1" spans="1:9" x14ac:dyDescent="0.2">
      <c r="A1" s="4" t="s">
        <v>39</v>
      </c>
      <c r="B1" s="17">
        <v>60936.177552006702</v>
      </c>
      <c r="C1" s="17">
        <v>66973.137500334895</v>
      </c>
      <c r="D1" s="4">
        <v>69994.746198594104</v>
      </c>
      <c r="E1" s="4">
        <v>74993.978793939998</v>
      </c>
      <c r="F1" s="4">
        <v>79992.783930519407</v>
      </c>
      <c r="G1" s="4">
        <v>82989.444280387106</v>
      </c>
      <c r="H1" s="4">
        <v>85903.976252131106</v>
      </c>
      <c r="I1" s="4">
        <v>89976.800595099499</v>
      </c>
    </row>
    <row r="2" spans="1:9" x14ac:dyDescent="0.2">
      <c r="A2" s="4" t="s">
        <v>38</v>
      </c>
    </row>
    <row r="3" spans="1:9" x14ac:dyDescent="0.2">
      <c r="A3" s="4" t="s">
        <v>37</v>
      </c>
      <c r="B3" s="4">
        <f>1/33814</f>
        <v>2.9573549417401077E-5</v>
      </c>
      <c r="C3" s="4">
        <f>1/33814</f>
        <v>2.9573549417401077E-5</v>
      </c>
      <c r="D3" s="4">
        <f t="shared" ref="D3:I3" si="0">1/33814</f>
        <v>2.9573549417401077E-5</v>
      </c>
      <c r="E3" s="4">
        <f t="shared" si="0"/>
        <v>2.9573549417401077E-5</v>
      </c>
      <c r="F3" s="4">
        <f t="shared" si="0"/>
        <v>2.9573549417401077E-5</v>
      </c>
      <c r="G3" s="4">
        <f t="shared" si="0"/>
        <v>2.9573549417401077E-5</v>
      </c>
      <c r="H3" s="4">
        <f t="shared" si="0"/>
        <v>2.9573549417401077E-5</v>
      </c>
      <c r="I3" s="4">
        <f t="shared" si="0"/>
        <v>2.9573549417401077E-5</v>
      </c>
    </row>
    <row r="4" spans="1:9" x14ac:dyDescent="0.2">
      <c r="A4" s="4" t="s">
        <v>36</v>
      </c>
      <c r="B4" s="4">
        <f>29.8/B3</f>
        <v>1007657.2000000001</v>
      </c>
      <c r="C4" s="4">
        <f>29.8/C3</f>
        <v>1007657.2000000001</v>
      </c>
      <c r="D4" s="4">
        <f t="shared" ref="D4:I4" si="1">29.8/D3</f>
        <v>1007657.2000000001</v>
      </c>
      <c r="E4" s="4">
        <f t="shared" si="1"/>
        <v>1007657.2000000001</v>
      </c>
      <c r="F4" s="4">
        <f t="shared" si="1"/>
        <v>1007657.2000000001</v>
      </c>
      <c r="G4" s="4">
        <f t="shared" si="1"/>
        <v>1007657.2000000001</v>
      </c>
      <c r="H4" s="4">
        <f t="shared" si="1"/>
        <v>1007657.2000000001</v>
      </c>
      <c r="I4" s="4">
        <f t="shared" si="1"/>
        <v>1007657.2000000001</v>
      </c>
    </row>
    <row r="5" spans="1:9" x14ac:dyDescent="0.2">
      <c r="A5" s="4" t="s">
        <v>35</v>
      </c>
      <c r="B5" s="4">
        <v>1.5524086765085849</v>
      </c>
      <c r="C5" s="4">
        <v>1.594386015291452</v>
      </c>
      <c r="D5" s="4">
        <v>1.5567091253789769</v>
      </c>
      <c r="E5" s="4">
        <v>1.5861673580812767</v>
      </c>
      <c r="F5" s="4">
        <v>1.5941133863330192</v>
      </c>
      <c r="G5" s="4">
        <v>1.6145702478762338</v>
      </c>
      <c r="H5" s="4">
        <v>1.6022509336142368</v>
      </c>
      <c r="I5" s="4">
        <v>1.5437358725965715</v>
      </c>
    </row>
    <row r="7" spans="1:9" x14ac:dyDescent="0.2">
      <c r="A7" s="4" t="s">
        <v>34</v>
      </c>
    </row>
    <row r="8" spans="1:9" x14ac:dyDescent="0.2">
      <c r="A8" s="4" t="s">
        <v>33</v>
      </c>
      <c r="B8" s="18">
        <v>1800000</v>
      </c>
      <c r="C8" s="18">
        <v>1950000</v>
      </c>
      <c r="D8" s="18">
        <v>1815000</v>
      </c>
      <c r="E8" s="18">
        <v>1920000</v>
      </c>
      <c r="F8" s="18">
        <v>1949000</v>
      </c>
      <c r="G8" s="18">
        <v>2025000</v>
      </c>
      <c r="H8" s="18">
        <v>1979000</v>
      </c>
      <c r="I8" s="18">
        <v>1770000</v>
      </c>
    </row>
    <row r="9" spans="1:9" x14ac:dyDescent="0.2">
      <c r="A9" s="4" t="s">
        <v>32</v>
      </c>
      <c r="B9" s="4">
        <f>2*B8/B4</f>
        <v>3.5726435537799954</v>
      </c>
      <c r="C9" s="20">
        <f>2*C8/C4</f>
        <v>3.8703638499283284</v>
      </c>
      <c r="D9" s="4">
        <f t="shared" ref="D9:I9" si="2">2*D8/D4</f>
        <v>3.602415583394829</v>
      </c>
      <c r="E9" s="4">
        <f t="shared" si="2"/>
        <v>3.8108197906986621</v>
      </c>
      <c r="F9" s="4">
        <f t="shared" si="2"/>
        <v>3.8683790479540061</v>
      </c>
      <c r="G9" s="4">
        <f t="shared" si="2"/>
        <v>4.0192239980024951</v>
      </c>
      <c r="H9" s="4">
        <f t="shared" si="2"/>
        <v>3.9279231071836729</v>
      </c>
      <c r="I9" s="4">
        <f t="shared" si="2"/>
        <v>3.5130994945503291</v>
      </c>
    </row>
    <row r="10" spans="1:9" x14ac:dyDescent="0.2">
      <c r="A10" s="4" t="s">
        <v>31</v>
      </c>
      <c r="B10" s="4">
        <f>B9/B5^2*PI()</f>
        <v>4.6572273402006328</v>
      </c>
      <c r="C10" s="4">
        <f>C9/C5^2*PI()</f>
        <v>4.7831578625094515</v>
      </c>
      <c r="D10" s="4">
        <f t="shared" ref="D10:I10" si="3">D9/D5^2*PI()</f>
        <v>4.6701275577101082</v>
      </c>
      <c r="E10" s="4">
        <f t="shared" si="3"/>
        <v>4.7585021315463587</v>
      </c>
      <c r="F10" s="4">
        <f t="shared" si="3"/>
        <v>4.7823403153104973</v>
      </c>
      <c r="G10" s="4">
        <f t="shared" si="3"/>
        <v>4.8437106623684336</v>
      </c>
      <c r="H10" s="4">
        <f t="shared" si="3"/>
        <v>4.8067527510596859</v>
      </c>
      <c r="I10" s="4">
        <f t="shared" si="3"/>
        <v>4.6312084601577865</v>
      </c>
    </row>
    <row r="11" spans="1:9" x14ac:dyDescent="0.2">
      <c r="B11" s="4">
        <f>B10/B5</f>
        <v>3.0000008442846897</v>
      </c>
      <c r="C11" s="4">
        <f>C10/C5</f>
        <v>2.9999998849934064</v>
      </c>
      <c r="D11" s="4">
        <f t="shared" ref="D11:I11" si="4">D10/D5</f>
        <v>3.000000116639117</v>
      </c>
      <c r="E11" s="4">
        <f t="shared" si="4"/>
        <v>3.0000000361264076</v>
      </c>
      <c r="F11" s="4">
        <f t="shared" si="4"/>
        <v>3.0000000980554087</v>
      </c>
      <c r="G11" s="4">
        <f t="shared" si="4"/>
        <v>2.9999999496706522</v>
      </c>
      <c r="H11" s="4">
        <f t="shared" si="4"/>
        <v>2.9999999689293211</v>
      </c>
      <c r="I11" s="4">
        <f t="shared" si="4"/>
        <v>3.0000005456685219</v>
      </c>
    </row>
    <row r="12" spans="1:9" x14ac:dyDescent="0.2">
      <c r="A12" s="4" t="s">
        <v>30</v>
      </c>
    </row>
    <row r="13" spans="1:9" x14ac:dyDescent="0.2">
      <c r="A13" s="4" t="s">
        <v>29</v>
      </c>
    </row>
    <row r="14" spans="1:9" x14ac:dyDescent="0.2">
      <c r="A14" s="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37EF-9BD2-D646-8292-091087D9253D}">
  <dimension ref="B6:E61"/>
  <sheetViews>
    <sheetView topLeftCell="A9" zoomScale="99" workbookViewId="0">
      <selection activeCell="B21" sqref="B21:E26"/>
    </sheetView>
  </sheetViews>
  <sheetFormatPr baseColWidth="10" defaultColWidth="8.83203125" defaultRowHeight="15" x14ac:dyDescent="0.2"/>
  <cols>
    <col min="2" max="2" width="10.83203125" customWidth="1"/>
    <col min="3" max="3" width="16.83203125" customWidth="1"/>
    <col min="4" max="4" width="10.5" customWidth="1"/>
    <col min="5" max="5" width="18.33203125" customWidth="1"/>
  </cols>
  <sheetData>
    <row r="6" spans="2:5" ht="53" customHeight="1" x14ac:dyDescent="0.2">
      <c r="C6" s="16"/>
    </row>
    <row r="7" spans="2:5" ht="49" customHeight="1" x14ac:dyDescent="0.2">
      <c r="B7" s="15" t="s">
        <v>67</v>
      </c>
      <c r="C7" s="15" t="s">
        <v>66</v>
      </c>
      <c r="D7" s="15" t="s">
        <v>65</v>
      </c>
      <c r="E7" s="15" t="s">
        <v>69</v>
      </c>
    </row>
    <row r="8" spans="2:5" ht="16" x14ac:dyDescent="0.2">
      <c r="B8" s="14" t="s">
        <v>64</v>
      </c>
      <c r="C8" s="14">
        <v>1.05</v>
      </c>
      <c r="D8" s="13">
        <f>C8/0.03225806</f>
        <v>32.550004557000641</v>
      </c>
      <c r="E8" s="13">
        <f>D8*60936</f>
        <v>1983467.0776853911</v>
      </c>
    </row>
    <row r="9" spans="2:5" ht="16" x14ac:dyDescent="0.2">
      <c r="B9" s="14" t="s">
        <v>63</v>
      </c>
      <c r="C9" s="14">
        <v>1.01</v>
      </c>
      <c r="D9" s="13">
        <f t="shared" ref="D9:D12" si="0">C9/0.03225806</f>
        <v>31.310004383400617</v>
      </c>
      <c r="E9" s="13">
        <f t="shared" ref="E9:E12" si="1">D9*60936</f>
        <v>1907906.4271068999</v>
      </c>
    </row>
    <row r="10" spans="2:5" ht="16" x14ac:dyDescent="0.2">
      <c r="B10" s="14" t="s">
        <v>62</v>
      </c>
      <c r="C10" s="14">
        <v>0.2</v>
      </c>
      <c r="D10" s="13">
        <f t="shared" si="0"/>
        <v>6.2000008680001226</v>
      </c>
      <c r="E10" s="13">
        <f t="shared" si="1"/>
        <v>377803.25289245549</v>
      </c>
    </row>
    <row r="11" spans="2:5" ht="16" x14ac:dyDescent="0.2">
      <c r="B11" s="14" t="s">
        <v>61</v>
      </c>
      <c r="C11" s="14">
        <v>0.2</v>
      </c>
      <c r="D11" s="13">
        <f t="shared" si="0"/>
        <v>6.2000008680001226</v>
      </c>
      <c r="E11" s="13">
        <f t="shared" si="1"/>
        <v>377803.25289245549</v>
      </c>
    </row>
    <row r="12" spans="2:5" ht="16" x14ac:dyDescent="0.2">
      <c r="B12" s="14" t="s">
        <v>60</v>
      </c>
      <c r="C12" s="14">
        <v>0.48</v>
      </c>
      <c r="D12" s="13">
        <f t="shared" si="0"/>
        <v>14.880002083200292</v>
      </c>
      <c r="E12" s="13">
        <f t="shared" si="1"/>
        <v>906727.80694189295</v>
      </c>
    </row>
    <row r="14" spans="2:5" ht="48" x14ac:dyDescent="0.2">
      <c r="B14" s="15" t="s">
        <v>67</v>
      </c>
      <c r="C14" s="15" t="s">
        <v>66</v>
      </c>
      <c r="D14" s="15" t="s">
        <v>65</v>
      </c>
      <c r="E14" s="15" t="s">
        <v>70</v>
      </c>
    </row>
    <row r="15" spans="2:5" ht="16" x14ac:dyDescent="0.2">
      <c r="B15" s="14" t="s">
        <v>64</v>
      </c>
      <c r="C15" s="14">
        <v>1.05</v>
      </c>
      <c r="D15" s="13">
        <f>C15/0.03225806</f>
        <v>32.550004557000641</v>
      </c>
      <c r="E15" s="13">
        <f>D15*66973</f>
        <v>2179971.4551960039</v>
      </c>
    </row>
    <row r="16" spans="2:5" ht="16" x14ac:dyDescent="0.2">
      <c r="B16" s="14" t="s">
        <v>63</v>
      </c>
      <c r="C16" s="14">
        <v>1.01</v>
      </c>
      <c r="D16" s="13">
        <f t="shared" ref="D16:D19" si="2">C16/0.03225806</f>
        <v>31.310004383400617</v>
      </c>
      <c r="E16" s="13">
        <f t="shared" ref="E16:E19" si="3">D16*66973</f>
        <v>2096924.9235694895</v>
      </c>
    </row>
    <row r="17" spans="2:5" ht="16" x14ac:dyDescent="0.2">
      <c r="B17" s="14" t="s">
        <v>62</v>
      </c>
      <c r="C17" s="14">
        <v>0.2</v>
      </c>
      <c r="D17" s="13">
        <f t="shared" si="2"/>
        <v>6.2000008680001226</v>
      </c>
      <c r="E17" s="13">
        <f t="shared" si="3"/>
        <v>415232.65813257219</v>
      </c>
    </row>
    <row r="18" spans="2:5" ht="16" x14ac:dyDescent="0.2">
      <c r="B18" s="14" t="s">
        <v>61</v>
      </c>
      <c r="C18" s="14">
        <v>0.2</v>
      </c>
      <c r="D18" s="13">
        <f t="shared" si="2"/>
        <v>6.2000008680001226</v>
      </c>
      <c r="E18" s="13">
        <f t="shared" si="3"/>
        <v>415232.65813257219</v>
      </c>
    </row>
    <row r="19" spans="2:5" ht="16" x14ac:dyDescent="0.2">
      <c r="B19" s="14" t="s">
        <v>60</v>
      </c>
      <c r="C19" s="14">
        <v>0.48</v>
      </c>
      <c r="D19" s="13">
        <f t="shared" si="2"/>
        <v>14.880002083200292</v>
      </c>
      <c r="E19" s="13">
        <f t="shared" si="3"/>
        <v>996558.37951817317</v>
      </c>
    </row>
    <row r="21" spans="2:5" ht="48" x14ac:dyDescent="0.2">
      <c r="B21" s="15" t="s">
        <v>67</v>
      </c>
      <c r="C21" s="15" t="s">
        <v>66</v>
      </c>
      <c r="D21" s="15" t="s">
        <v>65</v>
      </c>
      <c r="E21" s="15" t="s">
        <v>77</v>
      </c>
    </row>
    <row r="22" spans="2:5" ht="16" x14ac:dyDescent="0.2">
      <c r="B22" s="14" t="s">
        <v>64</v>
      </c>
      <c r="C22" s="14">
        <v>1.05</v>
      </c>
      <c r="D22" s="13">
        <f>C22/0.03225806</f>
        <v>32.550004557000641</v>
      </c>
      <c r="E22" s="13">
        <f>D22*69994</f>
        <v>2278305.0189627027</v>
      </c>
    </row>
    <row r="23" spans="2:5" ht="16" x14ac:dyDescent="0.2">
      <c r="B23" s="14" t="s">
        <v>63</v>
      </c>
      <c r="C23" s="14">
        <v>1.01</v>
      </c>
      <c r="D23" s="13">
        <f t="shared" ref="D23:D26" si="4">C23/0.03225806</f>
        <v>31.310004383400617</v>
      </c>
      <c r="E23" s="13">
        <f t="shared" ref="E23:E26" si="5">D23*69994</f>
        <v>2191512.4468117426</v>
      </c>
    </row>
    <row r="24" spans="2:5" ht="16" x14ac:dyDescent="0.2">
      <c r="B24" s="14" t="s">
        <v>62</v>
      </c>
      <c r="C24" s="14">
        <v>0.2</v>
      </c>
      <c r="D24" s="13">
        <f t="shared" si="4"/>
        <v>6.2000008680001226</v>
      </c>
      <c r="E24" s="13">
        <f t="shared" si="5"/>
        <v>433962.86075480061</v>
      </c>
    </row>
    <row r="25" spans="2:5" ht="16" x14ac:dyDescent="0.2">
      <c r="B25" s="14" t="s">
        <v>61</v>
      </c>
      <c r="C25" s="14">
        <v>0.2</v>
      </c>
      <c r="D25" s="13">
        <f t="shared" si="4"/>
        <v>6.2000008680001226</v>
      </c>
      <c r="E25" s="13">
        <f t="shared" si="5"/>
        <v>433962.86075480061</v>
      </c>
    </row>
    <row r="26" spans="2:5" ht="16" x14ac:dyDescent="0.2">
      <c r="B26" s="14" t="s">
        <v>60</v>
      </c>
      <c r="C26" s="14">
        <v>0.48</v>
      </c>
      <c r="D26" s="13">
        <f t="shared" si="4"/>
        <v>14.880002083200292</v>
      </c>
      <c r="E26" s="13">
        <f t="shared" si="5"/>
        <v>1041510.8658115213</v>
      </c>
    </row>
    <row r="28" spans="2:5" ht="48" x14ac:dyDescent="0.2">
      <c r="B28" s="15" t="s">
        <v>67</v>
      </c>
      <c r="C28" s="15" t="s">
        <v>66</v>
      </c>
      <c r="D28" s="15" t="s">
        <v>65</v>
      </c>
      <c r="E28" s="15" t="s">
        <v>71</v>
      </c>
    </row>
    <row r="29" spans="2:5" ht="16" x14ac:dyDescent="0.2">
      <c r="B29" s="14" t="s">
        <v>64</v>
      </c>
      <c r="C29" s="14">
        <v>1.05</v>
      </c>
      <c r="D29" s="13">
        <f>C29/0.03225806</f>
        <v>32.550004557000641</v>
      </c>
      <c r="E29" s="13">
        <f>D29*74993</f>
        <v>2441022.4917431492</v>
      </c>
    </row>
    <row r="30" spans="2:5" ht="16" x14ac:dyDescent="0.2">
      <c r="B30" s="14" t="s">
        <v>63</v>
      </c>
      <c r="C30" s="14">
        <v>1.01</v>
      </c>
      <c r="D30" s="13">
        <f t="shared" ref="D30:D33" si="6">C30/0.03225806</f>
        <v>31.310004383400617</v>
      </c>
      <c r="E30" s="13">
        <f t="shared" ref="E30:E33" si="7">D30*74993</f>
        <v>2348031.1587243625</v>
      </c>
    </row>
    <row r="31" spans="2:5" ht="16" x14ac:dyDescent="0.2">
      <c r="B31" s="14" t="s">
        <v>62</v>
      </c>
      <c r="C31" s="14">
        <v>0.2</v>
      </c>
      <c r="D31" s="13">
        <f t="shared" si="6"/>
        <v>6.2000008680001226</v>
      </c>
      <c r="E31" s="13">
        <f t="shared" si="7"/>
        <v>464956.66509393317</v>
      </c>
    </row>
    <row r="32" spans="2:5" ht="16" x14ac:dyDescent="0.2">
      <c r="B32" s="14" t="s">
        <v>61</v>
      </c>
      <c r="C32" s="14">
        <v>0.2</v>
      </c>
      <c r="D32" s="13">
        <f t="shared" si="6"/>
        <v>6.2000008680001226</v>
      </c>
      <c r="E32" s="13">
        <f t="shared" si="7"/>
        <v>464956.66509393317</v>
      </c>
    </row>
    <row r="33" spans="2:5" ht="16" x14ac:dyDescent="0.2">
      <c r="B33" s="14" t="s">
        <v>60</v>
      </c>
      <c r="C33" s="14">
        <v>0.48</v>
      </c>
      <c r="D33" s="13">
        <f t="shared" si="6"/>
        <v>14.880002083200292</v>
      </c>
      <c r="E33" s="13">
        <f t="shared" si="7"/>
        <v>1115895.9962254395</v>
      </c>
    </row>
    <row r="35" spans="2:5" ht="48" x14ac:dyDescent="0.2">
      <c r="B35" s="15" t="s">
        <v>67</v>
      </c>
      <c r="C35" s="15" t="s">
        <v>66</v>
      </c>
      <c r="D35" s="15" t="s">
        <v>65</v>
      </c>
      <c r="E35" s="15" t="s">
        <v>72</v>
      </c>
    </row>
    <row r="36" spans="2:5" ht="16" x14ac:dyDescent="0.2">
      <c r="B36" s="14" t="s">
        <v>64</v>
      </c>
      <c r="C36" s="14">
        <v>1.05</v>
      </c>
      <c r="D36" s="13">
        <f>C36/0.03225806</f>
        <v>32.550004557000641</v>
      </c>
      <c r="E36" s="13">
        <f>D36*79992</f>
        <v>2603739.9645235953</v>
      </c>
    </row>
    <row r="37" spans="2:5" ht="16" x14ac:dyDescent="0.2">
      <c r="B37" s="14" t="s">
        <v>63</v>
      </c>
      <c r="C37" s="14">
        <v>1.01</v>
      </c>
      <c r="D37" s="13">
        <f t="shared" ref="D37:D40" si="8">C37/0.03225806</f>
        <v>31.310004383400617</v>
      </c>
      <c r="E37" s="13">
        <f t="shared" ref="E37:E40" si="9">D37*79992</f>
        <v>2504549.8706369824</v>
      </c>
    </row>
    <row r="38" spans="2:5" ht="16" x14ac:dyDescent="0.2">
      <c r="B38" s="14" t="s">
        <v>62</v>
      </c>
      <c r="C38" s="14">
        <v>0.2</v>
      </c>
      <c r="D38" s="13">
        <f t="shared" si="8"/>
        <v>6.2000008680001226</v>
      </c>
      <c r="E38" s="13">
        <f t="shared" si="9"/>
        <v>495950.46943306579</v>
      </c>
    </row>
    <row r="39" spans="2:5" ht="16" x14ac:dyDescent="0.2">
      <c r="B39" s="14" t="s">
        <v>61</v>
      </c>
      <c r="C39" s="14">
        <v>0.2</v>
      </c>
      <c r="D39" s="13">
        <f t="shared" si="8"/>
        <v>6.2000008680001226</v>
      </c>
      <c r="E39" s="13">
        <f t="shared" si="9"/>
        <v>495950.46943306579</v>
      </c>
    </row>
    <row r="40" spans="2:5" ht="16" x14ac:dyDescent="0.2">
      <c r="B40" s="14" t="s">
        <v>60</v>
      </c>
      <c r="C40" s="14">
        <v>0.48</v>
      </c>
      <c r="D40" s="13">
        <f t="shared" si="8"/>
        <v>14.880002083200292</v>
      </c>
      <c r="E40" s="13">
        <f t="shared" si="9"/>
        <v>1190281.1266393578</v>
      </c>
    </row>
    <row r="42" spans="2:5" ht="48" x14ac:dyDescent="0.2">
      <c r="B42" s="15" t="s">
        <v>67</v>
      </c>
      <c r="C42" s="15" t="s">
        <v>66</v>
      </c>
      <c r="D42" s="15" t="s">
        <v>65</v>
      </c>
      <c r="E42" s="15" t="s">
        <v>73</v>
      </c>
    </row>
    <row r="43" spans="2:5" ht="16" x14ac:dyDescent="0.2">
      <c r="B43" s="14" t="s">
        <v>64</v>
      </c>
      <c r="C43" s="14">
        <v>1.05</v>
      </c>
      <c r="D43" s="13">
        <f>C43/0.03225806</f>
        <v>32.550004557000641</v>
      </c>
      <c r="E43" s="13">
        <f>D43*82989</f>
        <v>2701292.3281809264</v>
      </c>
    </row>
    <row r="44" spans="2:5" ht="16" x14ac:dyDescent="0.2">
      <c r="B44" s="14" t="s">
        <v>63</v>
      </c>
      <c r="C44" s="14">
        <v>1.01</v>
      </c>
      <c r="D44" s="13">
        <f t="shared" ref="D44:D47" si="10">C44/0.03225806</f>
        <v>31.310004383400617</v>
      </c>
      <c r="E44" s="13">
        <f t="shared" ref="E44:E47" si="11">D44*82989</f>
        <v>2598385.953774034</v>
      </c>
    </row>
    <row r="45" spans="2:5" ht="16" x14ac:dyDescent="0.2">
      <c r="B45" s="14" t="s">
        <v>62</v>
      </c>
      <c r="C45" s="14">
        <v>0.2</v>
      </c>
      <c r="D45" s="13">
        <f t="shared" si="10"/>
        <v>6.2000008680001226</v>
      </c>
      <c r="E45" s="13">
        <f t="shared" si="11"/>
        <v>514531.87203446217</v>
      </c>
    </row>
    <row r="46" spans="2:5" ht="16" x14ac:dyDescent="0.2">
      <c r="B46" s="14" t="s">
        <v>61</v>
      </c>
      <c r="C46" s="14">
        <v>0.2</v>
      </c>
      <c r="D46" s="13">
        <f t="shared" si="10"/>
        <v>6.2000008680001226</v>
      </c>
      <c r="E46" s="13">
        <f t="shared" si="11"/>
        <v>514531.87203446217</v>
      </c>
    </row>
    <row r="47" spans="2:5" ht="16" x14ac:dyDescent="0.2">
      <c r="B47" s="14" t="s">
        <v>60</v>
      </c>
      <c r="C47" s="14">
        <v>0.48</v>
      </c>
      <c r="D47" s="13">
        <f t="shared" si="10"/>
        <v>14.880002083200292</v>
      </c>
      <c r="E47" s="13">
        <f t="shared" si="11"/>
        <v>1234876.492882709</v>
      </c>
    </row>
    <row r="49" spans="2:5" ht="48" x14ac:dyDescent="0.2">
      <c r="B49" s="15" t="s">
        <v>67</v>
      </c>
      <c r="C49" s="15" t="s">
        <v>66</v>
      </c>
      <c r="D49" s="15" t="s">
        <v>65</v>
      </c>
      <c r="E49" s="15" t="s">
        <v>74</v>
      </c>
    </row>
    <row r="50" spans="2:5" ht="16" x14ac:dyDescent="0.2">
      <c r="B50" s="14" t="s">
        <v>64</v>
      </c>
      <c r="C50" s="14">
        <v>1.05</v>
      </c>
      <c r="D50" s="13">
        <f>C50/0.03225806</f>
        <v>32.550004557000641</v>
      </c>
      <c r="E50" s="13">
        <f>D50*85903</f>
        <v>2796143.0414600261</v>
      </c>
    </row>
    <row r="51" spans="2:5" ht="16" x14ac:dyDescent="0.2">
      <c r="B51" s="14" t="s">
        <v>63</v>
      </c>
      <c r="C51" s="14">
        <v>1.01</v>
      </c>
      <c r="D51" s="13">
        <f t="shared" ref="D51:D54" si="12">C51/0.03225806</f>
        <v>31.310004383400617</v>
      </c>
      <c r="E51" s="13">
        <f t="shared" ref="E51:E54" si="13">D51*85903</f>
        <v>2689623.3065472632</v>
      </c>
    </row>
    <row r="52" spans="2:5" ht="16" x14ac:dyDescent="0.2">
      <c r="B52" s="14" t="s">
        <v>62</v>
      </c>
      <c r="C52" s="14">
        <v>0.2</v>
      </c>
      <c r="D52" s="13">
        <f t="shared" si="12"/>
        <v>6.2000008680001226</v>
      </c>
      <c r="E52" s="13">
        <f t="shared" si="13"/>
        <v>532598.67456381454</v>
      </c>
    </row>
    <row r="53" spans="2:5" ht="16" x14ac:dyDescent="0.2">
      <c r="B53" s="14" t="s">
        <v>61</v>
      </c>
      <c r="C53" s="14">
        <v>0.2</v>
      </c>
      <c r="D53" s="13">
        <f t="shared" si="12"/>
        <v>6.2000008680001226</v>
      </c>
      <c r="E53" s="13">
        <f t="shared" si="13"/>
        <v>532598.67456381454</v>
      </c>
    </row>
    <row r="54" spans="2:5" ht="16" x14ac:dyDescent="0.2">
      <c r="B54" s="14" t="s">
        <v>60</v>
      </c>
      <c r="C54" s="14">
        <v>0.48</v>
      </c>
      <c r="D54" s="13">
        <f t="shared" si="12"/>
        <v>14.880002083200292</v>
      </c>
      <c r="E54" s="13">
        <f t="shared" si="13"/>
        <v>1278236.8189531546</v>
      </c>
    </row>
    <row r="56" spans="2:5" ht="48" x14ac:dyDescent="0.2">
      <c r="B56" s="15" t="s">
        <v>67</v>
      </c>
      <c r="C56" s="15" t="s">
        <v>66</v>
      </c>
      <c r="D56" s="15" t="s">
        <v>65</v>
      </c>
      <c r="E56" s="15" t="s">
        <v>75</v>
      </c>
    </row>
    <row r="57" spans="2:5" ht="16" x14ac:dyDescent="0.2">
      <c r="B57" s="14" t="s">
        <v>64</v>
      </c>
      <c r="C57" s="14">
        <v>1.05</v>
      </c>
      <c r="D57" s="13">
        <f>C57/0.03225806</f>
        <v>32.550004557000641</v>
      </c>
      <c r="E57" s="13">
        <f>D57*89976</f>
        <v>2928719.2100206898</v>
      </c>
    </row>
    <row r="58" spans="2:5" ht="16" x14ac:dyDescent="0.2">
      <c r="B58" s="14" t="s">
        <v>63</v>
      </c>
      <c r="C58" s="14">
        <v>1.01</v>
      </c>
      <c r="D58" s="13">
        <f t="shared" ref="D58:D61" si="14">C58/0.03225806</f>
        <v>31.310004383400617</v>
      </c>
      <c r="E58" s="13">
        <f t="shared" ref="E58:E61" si="15">D58*89976</f>
        <v>2817148.9544008537</v>
      </c>
    </row>
    <row r="59" spans="2:5" ht="16" x14ac:dyDescent="0.2">
      <c r="B59" s="14" t="s">
        <v>62</v>
      </c>
      <c r="C59" s="14">
        <v>0.2</v>
      </c>
      <c r="D59" s="13">
        <f t="shared" si="14"/>
        <v>6.2000008680001226</v>
      </c>
      <c r="E59" s="13">
        <f t="shared" si="15"/>
        <v>557851.27809917904</v>
      </c>
    </row>
    <row r="60" spans="2:5" ht="16" x14ac:dyDescent="0.2">
      <c r="B60" s="14" t="s">
        <v>61</v>
      </c>
      <c r="C60" s="14">
        <v>0.2</v>
      </c>
      <c r="D60" s="13">
        <f t="shared" si="14"/>
        <v>6.2000008680001226</v>
      </c>
      <c r="E60" s="13">
        <f t="shared" si="15"/>
        <v>557851.27809917904</v>
      </c>
    </row>
    <row r="61" spans="2:5" ht="16" x14ac:dyDescent="0.2">
      <c r="B61" s="14" t="s">
        <v>60</v>
      </c>
      <c r="C61" s="14">
        <v>0.48</v>
      </c>
      <c r="D61" s="13">
        <f t="shared" si="14"/>
        <v>14.880002083200292</v>
      </c>
      <c r="E61" s="13">
        <f t="shared" si="15"/>
        <v>1338843.0674380295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874A-BEE2-C341-9BB0-06B1B8BB3C5E}">
  <dimension ref="A1:R32"/>
  <sheetViews>
    <sheetView zoomScale="80" zoomScaleNormal="80" workbookViewId="0">
      <selection activeCell="L38" sqref="L38"/>
    </sheetView>
  </sheetViews>
  <sheetFormatPr baseColWidth="10" defaultRowHeight="15" x14ac:dyDescent="0.2"/>
  <cols>
    <col min="3" max="3" width="14.33203125" bestFit="1" customWidth="1"/>
    <col min="6" max="6" width="12.83203125" bestFit="1" customWidth="1"/>
    <col min="7" max="7" width="14.33203125" bestFit="1" customWidth="1"/>
    <col min="8" max="8" width="14.6640625" bestFit="1" customWidth="1"/>
    <col min="9" max="9" width="14.33203125" bestFit="1" customWidth="1"/>
    <col min="10" max="10" width="11.83203125" bestFit="1" customWidth="1"/>
    <col min="11" max="11" width="14.5" customWidth="1"/>
    <col min="12" max="12" width="31.83203125" customWidth="1"/>
    <col min="13" max="13" width="14.6640625" customWidth="1"/>
    <col min="14" max="14" width="22" customWidth="1"/>
  </cols>
  <sheetData>
    <row r="1" spans="1:9" x14ac:dyDescent="0.2">
      <c r="A1" t="s">
        <v>27</v>
      </c>
      <c r="B1" t="s">
        <v>26</v>
      </c>
      <c r="C1" s="3">
        <v>20848.48</v>
      </c>
      <c r="H1" t="s">
        <v>1</v>
      </c>
      <c r="I1" t="s">
        <v>6</v>
      </c>
    </row>
    <row r="2" spans="1:9" x14ac:dyDescent="0.2">
      <c r="A2" t="s">
        <v>25</v>
      </c>
      <c r="B2" t="s">
        <v>24</v>
      </c>
      <c r="C2" s="3">
        <f>'COMd Calculations'!E7</f>
        <v>344000</v>
      </c>
      <c r="H2">
        <v>0</v>
      </c>
      <c r="I2">
        <f>(C1+C2+C3)*-1</f>
        <v>-425048.48</v>
      </c>
    </row>
    <row r="3" spans="1:9" x14ac:dyDescent="0.2">
      <c r="A3" t="s">
        <v>23</v>
      </c>
      <c r="C3" s="26">
        <f>0.175*C2</f>
        <v>60199.999999999993</v>
      </c>
      <c r="H3">
        <v>1</v>
      </c>
      <c r="I3">
        <f t="shared" ref="I3:I7" si="0">$C$7-$C$8</f>
        <v>137140.8966714039</v>
      </c>
    </row>
    <row r="4" spans="1:9" x14ac:dyDescent="0.2">
      <c r="H4">
        <v>2</v>
      </c>
      <c r="I4">
        <f t="shared" si="0"/>
        <v>137140.8966714039</v>
      </c>
    </row>
    <row r="5" spans="1:9" x14ac:dyDescent="0.2">
      <c r="H5">
        <v>3</v>
      </c>
      <c r="I5">
        <f t="shared" si="0"/>
        <v>137140.8966714039</v>
      </c>
    </row>
    <row r="6" spans="1:9" x14ac:dyDescent="0.2">
      <c r="H6">
        <v>4</v>
      </c>
      <c r="I6">
        <f t="shared" si="0"/>
        <v>137140.8966714039</v>
      </c>
    </row>
    <row r="7" spans="1:9" x14ac:dyDescent="0.2">
      <c r="A7" t="s">
        <v>22</v>
      </c>
      <c r="B7" t="s">
        <v>21</v>
      </c>
      <c r="C7" s="3">
        <f>'COMd Calculations'!E31</f>
        <v>2179971.4551960039</v>
      </c>
      <c r="H7">
        <v>5</v>
      </c>
      <c r="I7">
        <f t="shared" si="0"/>
        <v>137140.8966714039</v>
      </c>
    </row>
    <row r="8" spans="1:9" x14ac:dyDescent="0.2">
      <c r="A8" t="s">
        <v>20</v>
      </c>
      <c r="B8" t="s">
        <v>19</v>
      </c>
      <c r="C8" s="25">
        <f>'COMd Calculations'!E28</f>
        <v>2042830.5585246</v>
      </c>
    </row>
    <row r="9" spans="1:9" x14ac:dyDescent="0.2">
      <c r="A9" t="s">
        <v>18</v>
      </c>
      <c r="B9" t="s">
        <v>17</v>
      </c>
      <c r="C9">
        <v>0.4</v>
      </c>
    </row>
    <row r="10" spans="1:9" x14ac:dyDescent="0.2">
      <c r="A10" t="s">
        <v>16</v>
      </c>
      <c r="B10" t="s">
        <v>15</v>
      </c>
      <c r="C10" s="32">
        <v>31272.73</v>
      </c>
    </row>
    <row r="11" spans="1:9" x14ac:dyDescent="0.2">
      <c r="A11" t="s">
        <v>14</v>
      </c>
    </row>
    <row r="12" spans="1:9" x14ac:dyDescent="0.2">
      <c r="A12" t="s">
        <v>13</v>
      </c>
      <c r="C12">
        <v>5</v>
      </c>
    </row>
    <row r="13" spans="1:9" x14ac:dyDescent="0.2">
      <c r="A13" t="s">
        <v>12</v>
      </c>
      <c r="C13">
        <v>0.14583990178201081</v>
      </c>
    </row>
    <row r="14" spans="1:9" x14ac:dyDescent="0.2">
      <c r="A14" t="s">
        <v>11</v>
      </c>
      <c r="C14" s="28">
        <v>17000</v>
      </c>
    </row>
    <row r="18" spans="4:18" x14ac:dyDescent="0.2">
      <c r="D18" s="1" t="s">
        <v>1</v>
      </c>
      <c r="E18" s="1" t="s">
        <v>10</v>
      </c>
      <c r="F18" s="1" t="s">
        <v>9</v>
      </c>
      <c r="G18" s="1" t="s">
        <v>8</v>
      </c>
      <c r="H18" s="1" t="s">
        <v>7</v>
      </c>
      <c r="I18" s="1" t="s">
        <v>6</v>
      </c>
      <c r="J18" s="1" t="s">
        <v>5</v>
      </c>
      <c r="K18" s="1" t="s">
        <v>4</v>
      </c>
      <c r="L18" s="1" t="s">
        <v>3</v>
      </c>
      <c r="M18" s="1" t="s">
        <v>2</v>
      </c>
      <c r="N18" s="1" t="s">
        <v>0</v>
      </c>
      <c r="Q18" s="1" t="s">
        <v>1</v>
      </c>
      <c r="R18" t="s">
        <v>0</v>
      </c>
    </row>
    <row r="19" spans="4:18" x14ac:dyDescent="0.2">
      <c r="D19" s="1">
        <v>0</v>
      </c>
      <c r="E19" s="1"/>
      <c r="F19" s="1"/>
      <c r="G19" s="1"/>
      <c r="H19" s="27">
        <f>(C1+C2+C3)*-1</f>
        <v>-425048.48</v>
      </c>
      <c r="I19" s="1"/>
      <c r="J19" s="1"/>
      <c r="K19" s="13"/>
      <c r="L19" s="13">
        <f>H19</f>
        <v>-425048.48</v>
      </c>
      <c r="M19" s="13">
        <f>L19</f>
        <v>-425048.48</v>
      </c>
      <c r="N19" s="13">
        <f>M19</f>
        <v>-425048.48</v>
      </c>
      <c r="Q19" s="1">
        <v>0</v>
      </c>
      <c r="R19" s="1">
        <v>-361000</v>
      </c>
    </row>
    <row r="20" spans="4:18" x14ac:dyDescent="0.2">
      <c r="D20" s="1">
        <v>1</v>
      </c>
      <c r="E20" s="1">
        <v>0.33300000000000002</v>
      </c>
      <c r="F20" s="22">
        <f>($C$2-$C$10)*E20</f>
        <v>104138.18091000001</v>
      </c>
      <c r="G20" s="1">
        <f>$C$8</f>
        <v>2042830.5585246</v>
      </c>
      <c r="H20" s="13">
        <f t="shared" ref="H20:H24" si="1">G20+F20</f>
        <v>2146968.7394345999</v>
      </c>
      <c r="I20" s="13">
        <f t="shared" ref="I20:I24" si="2">$C$7</f>
        <v>2179971.4551960039</v>
      </c>
      <c r="J20" s="13">
        <f t="shared" ref="J20:J24" si="3">(I20-H20)*$C$9</f>
        <v>13201.086304561608</v>
      </c>
      <c r="K20" s="13">
        <f>I20-H20-J20</f>
        <v>19801.629456842413</v>
      </c>
      <c r="L20" s="13">
        <f>K20+F20</f>
        <v>123939.81036684243</v>
      </c>
      <c r="M20" s="13">
        <f>L20/(1+C13)</f>
        <v>108165.03263160164</v>
      </c>
      <c r="N20" s="13">
        <f t="shared" ref="N20:N24" si="4">N19+M20</f>
        <v>-316883.44736839831</v>
      </c>
      <c r="Q20" s="1">
        <v>1</v>
      </c>
      <c r="R20" s="1">
        <v>-231558.89929727386</v>
      </c>
    </row>
    <row r="21" spans="4:18" x14ac:dyDescent="0.2">
      <c r="D21" s="1">
        <v>2</v>
      </c>
      <c r="E21" s="1">
        <v>0.44450000000000001</v>
      </c>
      <c r="F21" s="22">
        <f>($C$2-$C$10)*E21</f>
        <v>139007.271515</v>
      </c>
      <c r="G21" s="1">
        <f>$C$8</f>
        <v>2042830.5585246</v>
      </c>
      <c r="H21" s="13">
        <f t="shared" si="1"/>
        <v>2181837.8300395999</v>
      </c>
      <c r="I21" s="13">
        <f t="shared" si="2"/>
        <v>2179971.4551960039</v>
      </c>
      <c r="J21" s="13">
        <f t="shared" si="3"/>
        <v>-746.54993743840612</v>
      </c>
      <c r="K21" s="13">
        <f>I21-H21-J21</f>
        <v>-1119.8249061576089</v>
      </c>
      <c r="L21" s="13">
        <f t="shared" ref="L21:L23" si="5">K21+F21</f>
        <v>137887.44660884238</v>
      </c>
      <c r="M21" s="13">
        <f>L21/(1+$C$13)^D21</f>
        <v>105021.16849396138</v>
      </c>
      <c r="N21" s="13">
        <f t="shared" si="4"/>
        <v>-211862.27887443692</v>
      </c>
      <c r="Q21" s="1">
        <v>2</v>
      </c>
      <c r="R21" s="1">
        <v>-126441.54522197257</v>
      </c>
    </row>
    <row r="22" spans="4:18" x14ac:dyDescent="0.2">
      <c r="D22" s="1">
        <v>3</v>
      </c>
      <c r="E22" s="1">
        <v>0.14810000000000001</v>
      </c>
      <c r="F22" s="1">
        <f t="shared" ref="F22:F23" si="6">($C$2-$C$10)*E22</f>
        <v>46314.908687000003</v>
      </c>
      <c r="G22" s="22">
        <f>$C$8+C14</f>
        <v>2059830.5585246</v>
      </c>
      <c r="H22" s="13">
        <f t="shared" si="1"/>
        <v>2106145.4672115999</v>
      </c>
      <c r="I22" s="13">
        <f t="shared" si="2"/>
        <v>2179971.4551960039</v>
      </c>
      <c r="J22" s="13">
        <f t="shared" si="3"/>
        <v>29530.395193761589</v>
      </c>
      <c r="K22" s="13">
        <f>I22-H22-J22</f>
        <v>44295.592790642375</v>
      </c>
      <c r="L22" s="13">
        <f t="shared" si="5"/>
        <v>90610.501477642378</v>
      </c>
      <c r="M22" s="13">
        <f>L22/(1+$C$13)^D22</f>
        <v>60229.14650527553</v>
      </c>
      <c r="N22" s="13">
        <f t="shared" si="4"/>
        <v>-151633.13236916138</v>
      </c>
      <c r="Q22" s="1">
        <v>3</v>
      </c>
      <c r="R22" s="1">
        <v>-70363.247430733201</v>
      </c>
    </row>
    <row r="23" spans="4:18" x14ac:dyDescent="0.2">
      <c r="D23" s="1">
        <v>4</v>
      </c>
      <c r="E23" s="1">
        <v>7.4099999999999999E-2</v>
      </c>
      <c r="F23" s="1">
        <f t="shared" si="6"/>
        <v>23173.090706999999</v>
      </c>
      <c r="G23" s="1">
        <f>$C$8</f>
        <v>2042830.5585246</v>
      </c>
      <c r="H23" s="13">
        <f t="shared" si="1"/>
        <v>2066003.6492316001</v>
      </c>
      <c r="I23" s="13">
        <f t="shared" si="2"/>
        <v>2179971.4551960039</v>
      </c>
      <c r="J23" s="13">
        <f t="shared" si="3"/>
        <v>45587.122385761519</v>
      </c>
      <c r="K23" s="13">
        <f t="shared" ref="K23" si="7">I23-H23-J23</f>
        <v>68380.68357864226</v>
      </c>
      <c r="L23" s="13">
        <f t="shared" si="5"/>
        <v>91553.774285642256</v>
      </c>
      <c r="M23" s="13">
        <f>L23/(1+$C$13)^D23</f>
        <v>53110.511730162463</v>
      </c>
      <c r="N23" s="13">
        <f t="shared" si="4"/>
        <v>-98522.620638998924</v>
      </c>
      <c r="Q23" s="1">
        <v>4</v>
      </c>
      <c r="R23" s="1">
        <v>-28609.312131811494</v>
      </c>
    </row>
    <row r="24" spans="4:18" x14ac:dyDescent="0.2">
      <c r="D24" s="1">
        <v>5</v>
      </c>
      <c r="E24" s="1">
        <v>0</v>
      </c>
      <c r="F24" s="22">
        <f>($C$2-$C$10)*E24</f>
        <v>0</v>
      </c>
      <c r="G24" s="1">
        <f>$C$8</f>
        <v>2042830.5585246</v>
      </c>
      <c r="H24" s="13">
        <f t="shared" si="1"/>
        <v>2042830.5585246</v>
      </c>
      <c r="I24" s="13">
        <f t="shared" si="2"/>
        <v>2179971.4551960039</v>
      </c>
      <c r="J24" s="13">
        <f t="shared" si="3"/>
        <v>54856.358668561559</v>
      </c>
      <c r="K24" s="13">
        <f>I24-H24-J24+C3+C1+C10</f>
        <v>194605.74800284236</v>
      </c>
      <c r="L24" s="13">
        <f>K24+F24</f>
        <v>194605.74800284236</v>
      </c>
      <c r="M24" s="13">
        <f>L24/(1+$C$13)^D24</f>
        <v>98522.620640110443</v>
      </c>
      <c r="N24" s="13">
        <f t="shared" si="4"/>
        <v>1.1115189408883452E-6</v>
      </c>
      <c r="Q24" s="23">
        <v>5</v>
      </c>
      <c r="R24" s="1">
        <v>-6.7835614026989788E-4</v>
      </c>
    </row>
    <row r="25" spans="4:18" x14ac:dyDescent="0.2">
      <c r="D25" s="2"/>
      <c r="E25" s="2"/>
      <c r="F25" s="24"/>
      <c r="G25" s="2"/>
      <c r="H25" s="2"/>
      <c r="I25" s="2"/>
      <c r="J25" s="2"/>
      <c r="K25" s="2"/>
      <c r="L25" s="2"/>
      <c r="M25" s="2"/>
      <c r="N25" s="2"/>
      <c r="Q25" s="2"/>
      <c r="R25" s="2"/>
    </row>
    <row r="26" spans="4:18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2"/>
      <c r="R26" s="2"/>
    </row>
    <row r="27" spans="4:18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2"/>
      <c r="R27" s="2"/>
    </row>
    <row r="28" spans="4:18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Q28" s="2"/>
      <c r="R28" s="2"/>
    </row>
    <row r="29" spans="4:18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2"/>
      <c r="R29" s="2"/>
    </row>
    <row r="30" spans="4:18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Q30" s="2"/>
      <c r="R30" s="2"/>
    </row>
    <row r="31" spans="4:18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4:18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6E8F-099D-6B41-95FE-A511063B1BD4}">
  <dimension ref="A1:R32"/>
  <sheetViews>
    <sheetView tabSelected="1" zoomScale="80" zoomScaleNormal="80" workbookViewId="0">
      <selection activeCell="K50" sqref="K50"/>
    </sheetView>
  </sheetViews>
  <sheetFormatPr baseColWidth="10" defaultRowHeight="15" x14ac:dyDescent="0.2"/>
  <cols>
    <col min="3" max="3" width="14.33203125" bestFit="1" customWidth="1"/>
    <col min="6" max="6" width="12.83203125" bestFit="1" customWidth="1"/>
    <col min="7" max="7" width="14.33203125" bestFit="1" customWidth="1"/>
    <col min="8" max="8" width="14.5" bestFit="1" customWidth="1"/>
    <col min="11" max="11" width="14.5" customWidth="1"/>
    <col min="12" max="12" width="31.83203125" customWidth="1"/>
    <col min="13" max="13" width="14.6640625" customWidth="1"/>
    <col min="14" max="14" width="22" customWidth="1"/>
    <col min="18" max="18" width="14" bestFit="1" customWidth="1"/>
  </cols>
  <sheetData>
    <row r="1" spans="1:9" x14ac:dyDescent="0.2">
      <c r="A1" t="s">
        <v>27</v>
      </c>
      <c r="B1" t="s">
        <v>26</v>
      </c>
      <c r="C1" s="3">
        <v>20848.48</v>
      </c>
      <c r="H1" t="s">
        <v>1</v>
      </c>
      <c r="I1" t="s">
        <v>6</v>
      </c>
    </row>
    <row r="2" spans="1:9" x14ac:dyDescent="0.2">
      <c r="A2" t="s">
        <v>25</v>
      </c>
      <c r="B2" t="s">
        <v>24</v>
      </c>
      <c r="C2" s="3">
        <v>361000</v>
      </c>
      <c r="H2">
        <v>0</v>
      </c>
      <c r="I2">
        <f>(C1+C2+C3)*-1</f>
        <v>-445023.48</v>
      </c>
    </row>
    <row r="3" spans="1:9" x14ac:dyDescent="0.2">
      <c r="A3" t="s">
        <v>23</v>
      </c>
      <c r="C3" s="26">
        <f>0.175*C2</f>
        <v>63174.999999999993</v>
      </c>
      <c r="H3">
        <v>1</v>
      </c>
      <c r="I3">
        <f t="shared" ref="I3:I7" si="0">$C$7-$C$8</f>
        <v>210076.6089627028</v>
      </c>
    </row>
    <row r="4" spans="1:9" x14ac:dyDescent="0.2">
      <c r="H4">
        <v>2</v>
      </c>
      <c r="I4">
        <f t="shared" si="0"/>
        <v>210076.6089627028</v>
      </c>
    </row>
    <row r="5" spans="1:9" x14ac:dyDescent="0.2">
      <c r="H5">
        <v>3</v>
      </c>
      <c r="I5">
        <f t="shared" si="0"/>
        <v>210076.6089627028</v>
      </c>
    </row>
    <row r="6" spans="1:9" x14ac:dyDescent="0.2">
      <c r="H6">
        <v>4</v>
      </c>
      <c r="I6">
        <f t="shared" si="0"/>
        <v>210076.6089627028</v>
      </c>
    </row>
    <row r="7" spans="1:9" x14ac:dyDescent="0.2">
      <c r="A7" t="s">
        <v>22</v>
      </c>
      <c r="B7" t="s">
        <v>21</v>
      </c>
      <c r="C7" s="30">
        <f>'COMd Calculations'!H31</f>
        <v>2278305.0189627027</v>
      </c>
      <c r="H7">
        <v>5</v>
      </c>
      <c r="I7">
        <f t="shared" si="0"/>
        <v>210076.6089627028</v>
      </c>
    </row>
    <row r="8" spans="1:9" x14ac:dyDescent="0.2">
      <c r="A8" t="s">
        <v>20</v>
      </c>
      <c r="B8" t="s">
        <v>19</v>
      </c>
      <c r="C8" s="29">
        <v>2068228.41</v>
      </c>
    </row>
    <row r="9" spans="1:9" x14ac:dyDescent="0.2">
      <c r="A9" t="s">
        <v>18</v>
      </c>
      <c r="B9" t="s">
        <v>17</v>
      </c>
      <c r="C9">
        <v>0.4</v>
      </c>
    </row>
    <row r="10" spans="1:9" x14ac:dyDescent="0.2">
      <c r="A10" t="s">
        <v>16</v>
      </c>
      <c r="B10" t="s">
        <v>15</v>
      </c>
      <c r="C10" s="32">
        <v>31272.73</v>
      </c>
    </row>
    <row r="11" spans="1:9" x14ac:dyDescent="0.2">
      <c r="A11" t="s">
        <v>14</v>
      </c>
    </row>
    <row r="12" spans="1:9" x14ac:dyDescent="0.2">
      <c r="A12" t="s">
        <v>13</v>
      </c>
      <c r="C12">
        <v>5</v>
      </c>
    </row>
    <row r="13" spans="1:9" x14ac:dyDescent="0.2">
      <c r="A13" t="s">
        <v>12</v>
      </c>
      <c r="C13">
        <v>0.26221319595848169</v>
      </c>
    </row>
    <row r="14" spans="1:9" x14ac:dyDescent="0.2">
      <c r="A14" t="s">
        <v>11</v>
      </c>
      <c r="C14" s="28">
        <v>22725</v>
      </c>
    </row>
    <row r="18" spans="4:18" x14ac:dyDescent="0.2">
      <c r="D18" s="1" t="s">
        <v>1</v>
      </c>
      <c r="E18" s="1" t="s">
        <v>10</v>
      </c>
      <c r="F18" s="1" t="s">
        <v>9</v>
      </c>
      <c r="G18" s="1" t="s">
        <v>8</v>
      </c>
      <c r="H18" s="1" t="s">
        <v>7</v>
      </c>
      <c r="I18" s="1" t="s">
        <v>6</v>
      </c>
      <c r="J18" s="1" t="s">
        <v>5</v>
      </c>
      <c r="K18" s="1" t="s">
        <v>4</v>
      </c>
      <c r="L18" s="1" t="s">
        <v>3</v>
      </c>
      <c r="M18" s="1" t="s">
        <v>2</v>
      </c>
      <c r="N18" s="1" t="s">
        <v>0</v>
      </c>
      <c r="Q18" s="1" t="s">
        <v>1</v>
      </c>
      <c r="R18" t="s">
        <v>0</v>
      </c>
    </row>
    <row r="19" spans="4:18" x14ac:dyDescent="0.2">
      <c r="D19" s="1">
        <v>0</v>
      </c>
      <c r="E19" s="1"/>
      <c r="F19" s="1"/>
      <c r="G19" s="1"/>
      <c r="H19" s="27">
        <f>(C1+C2+C3)*-1</f>
        <v>-445023.48</v>
      </c>
      <c r="I19" s="1"/>
      <c r="J19" s="1"/>
      <c r="K19" s="13"/>
      <c r="L19" s="13">
        <f>H19</f>
        <v>-445023.48</v>
      </c>
      <c r="M19" s="13">
        <f>L19</f>
        <v>-445023.48</v>
      </c>
      <c r="N19" s="13">
        <f>M19</f>
        <v>-445023.48</v>
      </c>
      <c r="Q19" s="1">
        <v>0</v>
      </c>
      <c r="R19" s="13">
        <v>-445023.48</v>
      </c>
    </row>
    <row r="20" spans="4:18" x14ac:dyDescent="0.2">
      <c r="D20" s="1">
        <v>1</v>
      </c>
      <c r="E20" s="1">
        <v>0.33300000000000002</v>
      </c>
      <c r="F20" s="22">
        <f>($C$2-$C$10)*E20</f>
        <v>109799.18091000001</v>
      </c>
      <c r="G20" s="1">
        <f>$C$8</f>
        <v>2068228.41</v>
      </c>
      <c r="H20" s="1">
        <f t="shared" ref="H20:H24" si="1">G20+F20</f>
        <v>2178027.5909099998</v>
      </c>
      <c r="I20" s="1">
        <f t="shared" ref="I20:I24" si="2">$C$7</f>
        <v>2278305.0189627027</v>
      </c>
      <c r="J20" s="1">
        <f t="shared" ref="J20:J24" si="3">(I20-H20)*$C$9</f>
        <v>40110.97122108117</v>
      </c>
      <c r="K20" s="13">
        <f>I20-H20-J20</f>
        <v>60166.456831621748</v>
      </c>
      <c r="L20" s="13">
        <f>K20+F20</f>
        <v>169965.63774162176</v>
      </c>
      <c r="M20" s="13">
        <f>L20/(1+C13)</f>
        <v>134656.83791441875</v>
      </c>
      <c r="N20" s="13">
        <f t="shared" ref="N20:N25" si="4">N19+M20</f>
        <v>-310366.6420855812</v>
      </c>
      <c r="Q20" s="1">
        <v>1</v>
      </c>
      <c r="R20" s="13">
        <v>-310366.6420855812</v>
      </c>
    </row>
    <row r="21" spans="4:18" x14ac:dyDescent="0.2">
      <c r="D21" s="1">
        <v>2</v>
      </c>
      <c r="E21" s="1">
        <v>0.44450000000000001</v>
      </c>
      <c r="F21" s="22">
        <f>($C$2-$C$10)*E21</f>
        <v>146563.771515</v>
      </c>
      <c r="G21" s="1">
        <f>$C$8</f>
        <v>2068228.41</v>
      </c>
      <c r="H21" s="1">
        <f t="shared" si="1"/>
        <v>2214792.1815149998</v>
      </c>
      <c r="I21" s="1">
        <f t="shared" si="2"/>
        <v>2278305.0189627027</v>
      </c>
      <c r="J21" s="1">
        <f t="shared" si="3"/>
        <v>25405.134979081155</v>
      </c>
      <c r="K21" s="13">
        <f>I21-H21-J21</f>
        <v>38107.702468621734</v>
      </c>
      <c r="L21" s="13">
        <f t="shared" ref="L21:L23" si="5">K21+F21</f>
        <v>184671.47398362175</v>
      </c>
      <c r="M21" s="13">
        <f>L21/(1+$C$13)^D21</f>
        <v>115913.59703960968</v>
      </c>
      <c r="N21" s="13">
        <f t="shared" si="4"/>
        <v>-194453.04504597152</v>
      </c>
      <c r="Q21" s="1">
        <v>2</v>
      </c>
      <c r="R21" s="13">
        <v>-194453.04504597152</v>
      </c>
    </row>
    <row r="22" spans="4:18" x14ac:dyDescent="0.2">
      <c r="D22" s="1">
        <v>3</v>
      </c>
      <c r="E22" s="1">
        <v>0.14810000000000001</v>
      </c>
      <c r="F22" s="1">
        <f t="shared" ref="F22:F23" si="6">($C$2-$C$10)*E22</f>
        <v>48832.608687000007</v>
      </c>
      <c r="G22" s="22">
        <f>$C$8+C14</f>
        <v>2090953.41</v>
      </c>
      <c r="H22" s="1">
        <f t="shared" si="1"/>
        <v>2139786.018687</v>
      </c>
      <c r="I22" s="1">
        <f t="shared" si="2"/>
        <v>2278305.0189627027</v>
      </c>
      <c r="J22" s="1">
        <f t="shared" si="3"/>
        <v>55407.600110281077</v>
      </c>
      <c r="K22" s="13">
        <f>I22-H22-J22</f>
        <v>83111.400165421597</v>
      </c>
      <c r="L22" s="13">
        <f t="shared" si="5"/>
        <v>131944.0088524216</v>
      </c>
      <c r="M22" s="13">
        <f>L22/(1+$C$13)^D22</f>
        <v>65613.246420820506</v>
      </c>
      <c r="N22" s="13">
        <f t="shared" si="4"/>
        <v>-128839.79862515102</v>
      </c>
      <c r="Q22" s="1">
        <v>3</v>
      </c>
      <c r="R22" s="13">
        <v>-128839.79862515102</v>
      </c>
    </row>
    <row r="23" spans="4:18" x14ac:dyDescent="0.2">
      <c r="D23" s="1">
        <v>4</v>
      </c>
      <c r="E23" s="1">
        <v>7.4099999999999999E-2</v>
      </c>
      <c r="F23" s="1">
        <f t="shared" si="6"/>
        <v>24432.790707</v>
      </c>
      <c r="G23" s="1">
        <f>$C$8</f>
        <v>2068228.41</v>
      </c>
      <c r="H23" s="1">
        <f t="shared" si="1"/>
        <v>2092661.200707</v>
      </c>
      <c r="I23" s="1">
        <f t="shared" si="2"/>
        <v>2278305.0189627027</v>
      </c>
      <c r="J23" s="1">
        <f t="shared" si="3"/>
        <v>74257.527302281102</v>
      </c>
      <c r="K23" s="37">
        <f t="shared" ref="K23" si="7">I23-H23-J23</f>
        <v>111386.29095342163</v>
      </c>
      <c r="L23" s="37">
        <f t="shared" si="5"/>
        <v>135819.08166042162</v>
      </c>
      <c r="M23" s="37">
        <f>L23/(1+$C$13)^D23</f>
        <v>53509.380706977034</v>
      </c>
      <c r="N23" s="37">
        <f t="shared" si="4"/>
        <v>-75330.417918173975</v>
      </c>
      <c r="Q23" s="1">
        <v>4</v>
      </c>
      <c r="R23" s="13">
        <v>-75330.417918173975</v>
      </c>
    </row>
    <row r="24" spans="4:18" x14ac:dyDescent="0.2">
      <c r="D24" s="1">
        <v>5</v>
      </c>
      <c r="E24" s="1">
        <v>0</v>
      </c>
      <c r="F24" s="22">
        <f>($C$2-$C$10)*E24</f>
        <v>0</v>
      </c>
      <c r="G24" s="1">
        <f>$C$8</f>
        <v>2068228.41</v>
      </c>
      <c r="H24" s="1">
        <f t="shared" si="1"/>
        <v>2068228.41</v>
      </c>
      <c r="I24" s="1">
        <f t="shared" si="2"/>
        <v>2278305.0189627027</v>
      </c>
      <c r="J24" s="38">
        <f t="shared" si="3"/>
        <v>84030.643585081125</v>
      </c>
      <c r="K24" s="13">
        <f>I24-H24-J24+C1+C3+C10</f>
        <v>241342.17537762169</v>
      </c>
      <c r="L24" s="13">
        <f>K24+F24</f>
        <v>241342.17537762169</v>
      </c>
      <c r="M24" s="13">
        <f>L24/(1+$C$13)^D24</f>
        <v>75330.290420607969</v>
      </c>
      <c r="N24" s="13">
        <f t="shared" si="4"/>
        <v>-0.12749756600533146</v>
      </c>
      <c r="Q24" s="23">
        <v>5</v>
      </c>
      <c r="R24" s="13">
        <v>-35987.60863345016</v>
      </c>
    </row>
    <row r="25" spans="4:18" x14ac:dyDescent="0.2">
      <c r="D25" s="33">
        <v>5</v>
      </c>
      <c r="E25" s="2"/>
      <c r="F25" s="24"/>
      <c r="G25" s="2"/>
      <c r="H25" s="2"/>
      <c r="I25" s="2"/>
      <c r="J25" s="2"/>
      <c r="K25" s="34"/>
      <c r="L25" s="34"/>
      <c r="M25" s="34"/>
      <c r="N25" s="34"/>
      <c r="Q25" s="33">
        <v>5</v>
      </c>
      <c r="R25" s="34">
        <f>R24+ 35987.48</f>
        <v>-0.1286334501564852</v>
      </c>
    </row>
    <row r="26" spans="4:18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2"/>
      <c r="R26" s="2"/>
    </row>
    <row r="27" spans="4:18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2"/>
      <c r="R27" s="2"/>
    </row>
    <row r="28" spans="4:18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Q28" s="2"/>
      <c r="R28" s="2"/>
    </row>
    <row r="29" spans="4:18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2"/>
      <c r="R29" s="2"/>
    </row>
    <row r="30" spans="4:18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Q30" s="2"/>
      <c r="R30" s="2"/>
    </row>
    <row r="31" spans="4:18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4:18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694C-87EB-0A42-9A87-7CC3B174A668}">
  <dimension ref="A1:R32"/>
  <sheetViews>
    <sheetView zoomScale="80" zoomScaleNormal="80" workbookViewId="0">
      <selection activeCell="C13" sqref="C13"/>
    </sheetView>
  </sheetViews>
  <sheetFormatPr baseColWidth="10" defaultRowHeight="15" x14ac:dyDescent="0.2"/>
  <cols>
    <col min="3" max="3" width="14.33203125" bestFit="1" customWidth="1"/>
    <col min="6" max="6" width="12.83203125" bestFit="1" customWidth="1"/>
    <col min="7" max="7" width="14.33203125" bestFit="1" customWidth="1"/>
    <col min="8" max="8" width="14.5" bestFit="1" customWidth="1"/>
    <col min="11" max="11" width="14.5" customWidth="1"/>
    <col min="12" max="12" width="31.83203125" customWidth="1"/>
    <col min="13" max="13" width="14.6640625" customWidth="1"/>
    <col min="14" max="14" width="22" customWidth="1"/>
  </cols>
  <sheetData>
    <row r="1" spans="1:9" x14ac:dyDescent="0.2">
      <c r="A1" t="s">
        <v>27</v>
      </c>
      <c r="B1" t="s">
        <v>26</v>
      </c>
      <c r="C1" s="3">
        <v>20848.48</v>
      </c>
      <c r="H1" t="s">
        <v>1</v>
      </c>
      <c r="I1" t="s">
        <v>6</v>
      </c>
    </row>
    <row r="2" spans="1:9" x14ac:dyDescent="0.2">
      <c r="A2" t="s">
        <v>25</v>
      </c>
      <c r="B2" t="s">
        <v>24</v>
      </c>
      <c r="C2" s="3">
        <v>373000</v>
      </c>
      <c r="H2">
        <v>0</v>
      </c>
      <c r="I2">
        <f>(C1+C2+C3)*-1</f>
        <v>-459123.48</v>
      </c>
    </row>
    <row r="3" spans="1:9" x14ac:dyDescent="0.2">
      <c r="A3" t="s">
        <v>23</v>
      </c>
      <c r="C3" s="26">
        <f>0.175*C2</f>
        <v>65274.999999999993</v>
      </c>
      <c r="H3">
        <v>1</v>
      </c>
      <c r="I3">
        <f t="shared" ref="I3:I7" si="0">$C$7-$C$8</f>
        <v>370691.73174314923</v>
      </c>
    </row>
    <row r="4" spans="1:9" x14ac:dyDescent="0.2">
      <c r="H4">
        <v>2</v>
      </c>
      <c r="I4">
        <f t="shared" si="0"/>
        <v>370691.73174314923</v>
      </c>
    </row>
    <row r="5" spans="1:9" x14ac:dyDescent="0.2">
      <c r="H5">
        <v>3</v>
      </c>
      <c r="I5">
        <f t="shared" si="0"/>
        <v>370691.73174314923</v>
      </c>
    </row>
    <row r="6" spans="1:9" x14ac:dyDescent="0.2">
      <c r="H6">
        <v>4</v>
      </c>
      <c r="I6">
        <f t="shared" si="0"/>
        <v>370691.73174314923</v>
      </c>
    </row>
    <row r="7" spans="1:9" x14ac:dyDescent="0.2">
      <c r="A7" t="s">
        <v>22</v>
      </c>
      <c r="B7" t="s">
        <v>21</v>
      </c>
      <c r="C7" s="30">
        <f>'COMd Calculations'!K31</f>
        <v>2441022.4917431492</v>
      </c>
      <c r="H7">
        <v>5</v>
      </c>
      <c r="I7">
        <f t="shared" si="0"/>
        <v>370691.73174314923</v>
      </c>
    </row>
    <row r="8" spans="1:9" x14ac:dyDescent="0.2">
      <c r="A8" t="s">
        <v>20</v>
      </c>
      <c r="B8" t="s">
        <v>19</v>
      </c>
      <c r="C8" s="29">
        <v>2070330.76</v>
      </c>
    </row>
    <row r="9" spans="1:9" x14ac:dyDescent="0.2">
      <c r="A9" t="s">
        <v>18</v>
      </c>
      <c r="B9" t="s">
        <v>17</v>
      </c>
      <c r="C9">
        <v>0.4</v>
      </c>
    </row>
    <row r="10" spans="1:9" x14ac:dyDescent="0.2">
      <c r="A10" t="s">
        <v>16</v>
      </c>
      <c r="B10" t="s">
        <v>15</v>
      </c>
      <c r="C10" s="32">
        <v>31272.73</v>
      </c>
    </row>
    <row r="11" spans="1:9" x14ac:dyDescent="0.2">
      <c r="A11" t="s">
        <v>14</v>
      </c>
    </row>
    <row r="12" spans="1:9" x14ac:dyDescent="0.2">
      <c r="A12" t="s">
        <v>13</v>
      </c>
      <c r="C12">
        <v>5</v>
      </c>
    </row>
    <row r="13" spans="1:9" x14ac:dyDescent="0.2">
      <c r="A13" t="s">
        <v>12</v>
      </c>
      <c r="C13">
        <v>0.5064983898494102</v>
      </c>
    </row>
    <row r="14" spans="1:9" x14ac:dyDescent="0.2">
      <c r="A14" t="s">
        <v>11</v>
      </c>
      <c r="C14" s="28">
        <v>19440</v>
      </c>
    </row>
    <row r="18" spans="4:18" x14ac:dyDescent="0.2">
      <c r="D18" s="1" t="s">
        <v>1</v>
      </c>
      <c r="E18" s="1" t="s">
        <v>10</v>
      </c>
      <c r="F18" s="1" t="s">
        <v>9</v>
      </c>
      <c r="G18" s="1" t="s">
        <v>8</v>
      </c>
      <c r="H18" s="1" t="s">
        <v>7</v>
      </c>
      <c r="I18" s="1" t="s">
        <v>6</v>
      </c>
      <c r="J18" s="1" t="s">
        <v>5</v>
      </c>
      <c r="K18" s="1" t="s">
        <v>4</v>
      </c>
      <c r="L18" s="1" t="s">
        <v>3</v>
      </c>
      <c r="M18" s="1" t="s">
        <v>2</v>
      </c>
      <c r="N18" s="1" t="s">
        <v>0</v>
      </c>
      <c r="Q18" s="1" t="s">
        <v>1</v>
      </c>
      <c r="R18" t="s">
        <v>0</v>
      </c>
    </row>
    <row r="19" spans="4:18" x14ac:dyDescent="0.2">
      <c r="D19" s="1">
        <v>0</v>
      </c>
      <c r="E19" s="1"/>
      <c r="F19" s="1"/>
      <c r="G19" s="1"/>
      <c r="H19" s="27">
        <f>(C1+C2+C3)*-1</f>
        <v>-459123.48</v>
      </c>
      <c r="I19" s="1"/>
      <c r="J19" s="1"/>
      <c r="K19" s="13"/>
      <c r="L19" s="13">
        <f>H19</f>
        <v>-459123.48</v>
      </c>
      <c r="M19" s="13">
        <f>L19</f>
        <v>-459123.48</v>
      </c>
      <c r="N19" s="13">
        <f>M19</f>
        <v>-459123.48</v>
      </c>
      <c r="Q19" s="1">
        <v>0</v>
      </c>
      <c r="R19" s="1">
        <v>-361000</v>
      </c>
    </row>
    <row r="20" spans="4:18" x14ac:dyDescent="0.2">
      <c r="D20" s="1">
        <v>1</v>
      </c>
      <c r="E20" s="1">
        <v>0.33300000000000002</v>
      </c>
      <c r="F20" s="22">
        <f>($C$2-$C$10)*E20</f>
        <v>113795.18091000001</v>
      </c>
      <c r="G20" s="1">
        <f>$C$8</f>
        <v>2070330.76</v>
      </c>
      <c r="H20" s="1">
        <f t="shared" ref="H20:H24" si="1">G20+F20</f>
        <v>2184125.9409099999</v>
      </c>
      <c r="I20" s="1">
        <f t="shared" ref="I20:I24" si="2">$C$7</f>
        <v>2441022.4917431492</v>
      </c>
      <c r="J20" s="1">
        <f t="shared" ref="J20:J24" si="3">(I20-H20)*$C$9</f>
        <v>102758.62033325975</v>
      </c>
      <c r="K20" s="13">
        <f>I20-H20-J20</f>
        <v>154137.9304998896</v>
      </c>
      <c r="L20" s="13">
        <f>K20+F20</f>
        <v>267933.11140988959</v>
      </c>
      <c r="M20" s="13">
        <f>L20/(1+C13)</f>
        <v>177851.57502668968</v>
      </c>
      <c r="N20" s="13">
        <f t="shared" ref="N20:N24" si="4">N19+M20</f>
        <v>-281271.9049733103</v>
      </c>
      <c r="Q20" s="1">
        <v>1</v>
      </c>
      <c r="R20" s="1">
        <v>-231558.89929727386</v>
      </c>
    </row>
    <row r="21" spans="4:18" x14ac:dyDescent="0.2">
      <c r="D21" s="1">
        <v>2</v>
      </c>
      <c r="E21" s="1">
        <v>0.44450000000000001</v>
      </c>
      <c r="F21" s="22">
        <f>($C$2-$C$10)*E21</f>
        <v>151897.771515</v>
      </c>
      <c r="G21" s="1">
        <f>$C$8</f>
        <v>2070330.76</v>
      </c>
      <c r="H21" s="1">
        <f t="shared" si="1"/>
        <v>2222228.5315149999</v>
      </c>
      <c r="I21" s="1">
        <f t="shared" si="2"/>
        <v>2441022.4917431492</v>
      </c>
      <c r="J21" s="1">
        <f t="shared" si="3"/>
        <v>87517.584091259734</v>
      </c>
      <c r="K21" s="13">
        <f>I21-H21-J21</f>
        <v>131276.37613688956</v>
      </c>
      <c r="L21" s="13">
        <f t="shared" ref="L21:L23" si="5">K21+F21</f>
        <v>283174.14765188959</v>
      </c>
      <c r="M21" s="13">
        <f>L21/(1+$C$13)^D21</f>
        <v>124771.74768048155</v>
      </c>
      <c r="N21" s="13">
        <f t="shared" si="4"/>
        <v>-156500.15729282875</v>
      </c>
      <c r="Q21" s="1">
        <v>2</v>
      </c>
      <c r="R21" s="1">
        <v>-126441.54522197257</v>
      </c>
    </row>
    <row r="22" spans="4:18" x14ac:dyDescent="0.2">
      <c r="D22" s="1">
        <v>3</v>
      </c>
      <c r="E22" s="1">
        <v>0.14810000000000001</v>
      </c>
      <c r="F22" s="1">
        <f t="shared" ref="F22:F23" si="6">($C$2-$C$10)*E22</f>
        <v>50609.808687000004</v>
      </c>
      <c r="G22" s="22">
        <f>$C$8+C14</f>
        <v>2089770.76</v>
      </c>
      <c r="H22" s="1">
        <f t="shared" si="1"/>
        <v>2140380.5686869998</v>
      </c>
      <c r="I22" s="1">
        <f t="shared" si="2"/>
        <v>2441022.4917431492</v>
      </c>
      <c r="J22" s="1">
        <f t="shared" si="3"/>
        <v>120256.76922245976</v>
      </c>
      <c r="K22" s="13">
        <f>I22-H22-J22</f>
        <v>180385.15383368963</v>
      </c>
      <c r="L22" s="13">
        <f t="shared" si="5"/>
        <v>230994.96252068965</v>
      </c>
      <c r="M22" s="13">
        <f>L22/(1+$C$13)^D22</f>
        <v>67561.066018630532</v>
      </c>
      <c r="N22" s="13">
        <f t="shared" si="4"/>
        <v>-88939.091274198217</v>
      </c>
      <c r="Q22" s="1">
        <v>3</v>
      </c>
      <c r="R22" s="1">
        <v>-70363.247430733201</v>
      </c>
    </row>
    <row r="23" spans="4:18" x14ac:dyDescent="0.2">
      <c r="D23" s="1">
        <v>4</v>
      </c>
      <c r="E23" s="1">
        <v>7.4099999999999999E-2</v>
      </c>
      <c r="F23" s="1">
        <f t="shared" si="6"/>
        <v>25321.990707000001</v>
      </c>
      <c r="G23" s="1">
        <f>$C$8</f>
        <v>2070330.76</v>
      </c>
      <c r="H23" s="1">
        <f t="shared" si="1"/>
        <v>2095652.750707</v>
      </c>
      <c r="I23" s="1">
        <f t="shared" si="2"/>
        <v>2441022.4917431492</v>
      </c>
      <c r="J23" s="1">
        <f t="shared" si="3"/>
        <v>138147.89641445968</v>
      </c>
      <c r="K23" s="13">
        <f t="shared" ref="K23" si="7">I23-H23-J23</f>
        <v>207221.84462168952</v>
      </c>
      <c r="L23" s="13">
        <f t="shared" si="5"/>
        <v>232543.83532868951</v>
      </c>
      <c r="M23" s="13">
        <f>L23/(1+$C$13)^D23</f>
        <v>45147.129603227615</v>
      </c>
      <c r="N23" s="13">
        <f t="shared" si="4"/>
        <v>-43791.961670970602</v>
      </c>
      <c r="Q23" s="1">
        <v>4</v>
      </c>
      <c r="R23" s="1">
        <v>-28609.312131811494</v>
      </c>
    </row>
    <row r="24" spans="4:18" x14ac:dyDescent="0.2">
      <c r="D24" s="1">
        <v>5</v>
      </c>
      <c r="E24" s="1">
        <v>0</v>
      </c>
      <c r="F24" s="22">
        <f>($C$2-$C$10)*E24</f>
        <v>0</v>
      </c>
      <c r="G24" s="1">
        <f>$C$8</f>
        <v>2070330.76</v>
      </c>
      <c r="H24" s="1">
        <f t="shared" si="1"/>
        <v>2070330.76</v>
      </c>
      <c r="I24" s="1">
        <f t="shared" si="2"/>
        <v>2441022.4917431492</v>
      </c>
      <c r="J24" s="1">
        <f t="shared" si="3"/>
        <v>148276.69269725968</v>
      </c>
      <c r="K24" s="13">
        <f>I24-H24-J24+C3+C1+C10</f>
        <v>339811.24904588948</v>
      </c>
      <c r="L24" s="13">
        <f>K24+F24</f>
        <v>339811.24904588948</v>
      </c>
      <c r="M24" s="13">
        <f>L24/(1+$C$13)^D24</f>
        <v>43791.960909838541</v>
      </c>
      <c r="N24" s="13">
        <f t="shared" si="4"/>
        <v>-7.6113206159789115E-4</v>
      </c>
      <c r="Q24" s="23">
        <v>5</v>
      </c>
      <c r="R24" s="1">
        <v>-6.7835614026989788E-4</v>
      </c>
    </row>
    <row r="25" spans="4:18" x14ac:dyDescent="0.2">
      <c r="D25" s="2"/>
      <c r="E25" s="2"/>
      <c r="F25" s="24"/>
      <c r="G25" s="2"/>
      <c r="H25" s="2"/>
      <c r="I25" s="2"/>
      <c r="J25" s="2"/>
      <c r="K25" s="2"/>
      <c r="L25" s="2"/>
      <c r="M25" s="2"/>
      <c r="N25" s="2"/>
      <c r="Q25" s="2"/>
      <c r="R25" s="2"/>
    </row>
    <row r="26" spans="4:18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2"/>
      <c r="R26" s="2"/>
    </row>
    <row r="27" spans="4:18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2"/>
      <c r="R27" s="2"/>
    </row>
    <row r="28" spans="4:18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Q28" s="2"/>
      <c r="R28" s="2"/>
    </row>
    <row r="29" spans="4:18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2"/>
      <c r="R29" s="2"/>
    </row>
    <row r="30" spans="4:18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Q30" s="2"/>
      <c r="R30" s="2"/>
    </row>
    <row r="31" spans="4:18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4:18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56FB-476C-5440-9A94-8024020D6D02}">
  <dimension ref="A1:R32"/>
  <sheetViews>
    <sheetView zoomScale="80" zoomScaleNormal="80" workbookViewId="0">
      <selection activeCell="C13" sqref="C13"/>
    </sheetView>
  </sheetViews>
  <sheetFormatPr baseColWidth="10" defaultRowHeight="15" x14ac:dyDescent="0.2"/>
  <cols>
    <col min="3" max="3" width="14.33203125" bestFit="1" customWidth="1"/>
    <col min="6" max="6" width="12.83203125" bestFit="1" customWidth="1"/>
    <col min="7" max="7" width="14.33203125" bestFit="1" customWidth="1"/>
    <col min="8" max="8" width="14.5" bestFit="1" customWidth="1"/>
    <col min="11" max="11" width="14.5" customWidth="1"/>
    <col min="12" max="12" width="31.83203125" customWidth="1"/>
    <col min="13" max="13" width="14.6640625" customWidth="1"/>
    <col min="14" max="14" width="22" customWidth="1"/>
  </cols>
  <sheetData>
    <row r="1" spans="1:9" x14ac:dyDescent="0.2">
      <c r="A1" t="s">
        <v>27</v>
      </c>
      <c r="B1" t="s">
        <v>26</v>
      </c>
      <c r="C1" s="3">
        <v>20848.48</v>
      </c>
      <c r="H1" t="s">
        <v>1</v>
      </c>
      <c r="I1" t="s">
        <v>6</v>
      </c>
    </row>
    <row r="2" spans="1:9" x14ac:dyDescent="0.2">
      <c r="A2" t="s">
        <v>25</v>
      </c>
      <c r="B2" t="s">
        <v>24</v>
      </c>
      <c r="C2" s="3">
        <f>'COMd Calculations'!N7</f>
        <v>382000</v>
      </c>
      <c r="H2">
        <v>0</v>
      </c>
      <c r="I2">
        <f>(C1+C2+C3)*-1</f>
        <v>-469698.48</v>
      </c>
    </row>
    <row r="3" spans="1:9" x14ac:dyDescent="0.2">
      <c r="A3" t="s">
        <v>23</v>
      </c>
      <c r="C3" s="26">
        <f>0.175*C2</f>
        <v>66850</v>
      </c>
      <c r="H3">
        <v>1</v>
      </c>
      <c r="I3">
        <f t="shared" ref="I3:I7" si="0">$C$7-$C$8</f>
        <v>528114.59905519523</v>
      </c>
    </row>
    <row r="4" spans="1:9" x14ac:dyDescent="0.2">
      <c r="H4">
        <v>2</v>
      </c>
      <c r="I4">
        <f t="shared" si="0"/>
        <v>528114.59905519523</v>
      </c>
    </row>
    <row r="5" spans="1:9" x14ac:dyDescent="0.2">
      <c r="H5">
        <v>3</v>
      </c>
      <c r="I5">
        <f t="shared" si="0"/>
        <v>528114.59905519523</v>
      </c>
    </row>
    <row r="6" spans="1:9" x14ac:dyDescent="0.2">
      <c r="H6">
        <v>4</v>
      </c>
      <c r="I6">
        <f t="shared" si="0"/>
        <v>528114.59905519523</v>
      </c>
    </row>
    <row r="7" spans="1:9" x14ac:dyDescent="0.2">
      <c r="A7" t="s">
        <v>22</v>
      </c>
      <c r="B7" t="s">
        <v>21</v>
      </c>
      <c r="C7" s="30">
        <f>'COMd Calculations'!N31</f>
        <v>2603739.9645235953</v>
      </c>
      <c r="H7">
        <v>5</v>
      </c>
      <c r="I7">
        <f t="shared" si="0"/>
        <v>528114.59905519523</v>
      </c>
    </row>
    <row r="8" spans="1:9" x14ac:dyDescent="0.2">
      <c r="A8" t="s">
        <v>20</v>
      </c>
      <c r="B8" t="s">
        <v>19</v>
      </c>
      <c r="C8" s="25">
        <f>'COMd Calculations'!N28</f>
        <v>2075625.3654684001</v>
      </c>
    </row>
    <row r="9" spans="1:9" x14ac:dyDescent="0.2">
      <c r="A9" t="s">
        <v>18</v>
      </c>
      <c r="B9" t="s">
        <v>17</v>
      </c>
      <c r="C9">
        <v>0.4</v>
      </c>
    </row>
    <row r="10" spans="1:9" x14ac:dyDescent="0.2">
      <c r="A10" t="s">
        <v>16</v>
      </c>
      <c r="B10" t="s">
        <v>15</v>
      </c>
      <c r="C10" s="32">
        <v>31272.73</v>
      </c>
    </row>
    <row r="11" spans="1:9" x14ac:dyDescent="0.2">
      <c r="A11" t="s">
        <v>14</v>
      </c>
    </row>
    <row r="12" spans="1:9" x14ac:dyDescent="0.2">
      <c r="A12" t="s">
        <v>13</v>
      </c>
      <c r="C12">
        <v>5</v>
      </c>
    </row>
    <row r="13" spans="1:9" x14ac:dyDescent="0.2">
      <c r="A13" t="s">
        <v>12</v>
      </c>
      <c r="C13">
        <v>0.72023489245513728</v>
      </c>
    </row>
    <row r="14" spans="1:9" x14ac:dyDescent="0.2">
      <c r="A14" t="s">
        <v>11</v>
      </c>
      <c r="C14" s="31">
        <f>'COMd Calculations'!N3</f>
        <v>20740</v>
      </c>
    </row>
    <row r="18" spans="4:18" x14ac:dyDescent="0.2">
      <c r="D18" s="1" t="s">
        <v>1</v>
      </c>
      <c r="E18" s="1" t="s">
        <v>10</v>
      </c>
      <c r="F18" s="1" t="s">
        <v>9</v>
      </c>
      <c r="G18" s="1" t="s">
        <v>8</v>
      </c>
      <c r="H18" s="1" t="s">
        <v>7</v>
      </c>
      <c r="I18" s="1" t="s">
        <v>6</v>
      </c>
      <c r="J18" s="1" t="s">
        <v>5</v>
      </c>
      <c r="K18" s="1" t="s">
        <v>4</v>
      </c>
      <c r="L18" s="1" t="s">
        <v>3</v>
      </c>
      <c r="M18" s="1" t="s">
        <v>2</v>
      </c>
      <c r="N18" s="1" t="s">
        <v>0</v>
      </c>
      <c r="Q18" s="1" t="s">
        <v>1</v>
      </c>
      <c r="R18" t="s">
        <v>0</v>
      </c>
    </row>
    <row r="19" spans="4:18" x14ac:dyDescent="0.2">
      <c r="D19" s="1">
        <v>0</v>
      </c>
      <c r="E19" s="1"/>
      <c r="F19" s="1"/>
      <c r="G19" s="1"/>
      <c r="H19" s="27">
        <f>(C1+C2+C3)*-1</f>
        <v>-469698.48</v>
      </c>
      <c r="I19" s="1"/>
      <c r="J19" s="1"/>
      <c r="K19" s="13"/>
      <c r="L19" s="13">
        <f>H19</f>
        <v>-469698.48</v>
      </c>
      <c r="M19" s="13">
        <f>L19</f>
        <v>-469698.48</v>
      </c>
      <c r="N19" s="13">
        <f>M19</f>
        <v>-469698.48</v>
      </c>
      <c r="Q19" s="1">
        <v>0</v>
      </c>
      <c r="R19" s="1">
        <v>-361000</v>
      </c>
    </row>
    <row r="20" spans="4:18" x14ac:dyDescent="0.2">
      <c r="D20" s="1">
        <v>1</v>
      </c>
      <c r="E20" s="1">
        <v>0.33300000000000002</v>
      </c>
      <c r="F20" s="22">
        <f>($C$2-$C$10)*E20</f>
        <v>116792.18091000001</v>
      </c>
      <c r="G20" s="1">
        <f>$C$8</f>
        <v>2075625.3654684001</v>
      </c>
      <c r="H20" s="1">
        <f t="shared" ref="H20:H24" si="1">G20+F20</f>
        <v>2192417.5463784002</v>
      </c>
      <c r="I20" s="1">
        <f t="shared" ref="I20:I24" si="2">$C$7</f>
        <v>2603739.9645235953</v>
      </c>
      <c r="J20" s="1">
        <f t="shared" ref="J20:J24" si="3">(I20-H20)*$C$9</f>
        <v>164528.96725807805</v>
      </c>
      <c r="K20" s="13">
        <f>I20-H20-J20</f>
        <v>246793.45088711707</v>
      </c>
      <c r="L20" s="13">
        <f>K20+F20</f>
        <v>363585.63179711706</v>
      </c>
      <c r="M20" s="13">
        <f>L20/(1+C13)</f>
        <v>211358.13102721327</v>
      </c>
      <c r="N20" s="13">
        <f t="shared" ref="N20:N24" si="4">N19+M20</f>
        <v>-258340.34897278671</v>
      </c>
      <c r="Q20" s="1">
        <v>1</v>
      </c>
      <c r="R20" s="1">
        <v>-231558.89929727386</v>
      </c>
    </row>
    <row r="21" spans="4:18" x14ac:dyDescent="0.2">
      <c r="D21" s="1">
        <v>2</v>
      </c>
      <c r="E21" s="1">
        <v>0.44450000000000001</v>
      </c>
      <c r="F21" s="22">
        <f>($C$2-$C$10)*E21</f>
        <v>155898.271515</v>
      </c>
      <c r="G21" s="1">
        <f>$C$8</f>
        <v>2075625.3654684001</v>
      </c>
      <c r="H21" s="1">
        <f t="shared" si="1"/>
        <v>2231523.6369834002</v>
      </c>
      <c r="I21" s="1">
        <f t="shared" si="2"/>
        <v>2603739.9645235953</v>
      </c>
      <c r="J21" s="1">
        <f t="shared" si="3"/>
        <v>148886.53101607805</v>
      </c>
      <c r="K21" s="13">
        <f>I21-H21-J21</f>
        <v>223329.79652411703</v>
      </c>
      <c r="L21" s="13">
        <f t="shared" ref="L21:L23" si="5">K21+F21</f>
        <v>379228.06803911703</v>
      </c>
      <c r="M21" s="13">
        <f>L21/(1+$C$13)^D21</f>
        <v>128151.87614996867</v>
      </c>
      <c r="N21" s="13">
        <f t="shared" si="4"/>
        <v>-130188.47282281805</v>
      </c>
      <c r="Q21" s="1">
        <v>2</v>
      </c>
      <c r="R21" s="1">
        <v>-126441.54522197257</v>
      </c>
    </row>
    <row r="22" spans="4:18" x14ac:dyDescent="0.2">
      <c r="D22" s="1">
        <v>3</v>
      </c>
      <c r="E22" s="1">
        <v>0.14810000000000001</v>
      </c>
      <c r="F22" s="1">
        <f t="shared" ref="F22:F23" si="6">($C$2-$C$10)*E22</f>
        <v>51942.708687000006</v>
      </c>
      <c r="G22" s="22">
        <f>$C$8+C14</f>
        <v>2096365.3654684001</v>
      </c>
      <c r="H22" s="1">
        <f t="shared" si="1"/>
        <v>2148308.0741554</v>
      </c>
      <c r="I22" s="1">
        <f t="shared" si="2"/>
        <v>2603739.9645235953</v>
      </c>
      <c r="J22" s="1">
        <f t="shared" si="3"/>
        <v>182172.75614727812</v>
      </c>
      <c r="K22" s="13">
        <f>I22-H22-J22</f>
        <v>273259.13422091713</v>
      </c>
      <c r="L22" s="13">
        <f t="shared" si="5"/>
        <v>325201.8429079171</v>
      </c>
      <c r="M22" s="13">
        <f>L22/(1+$C$13)^D22</f>
        <v>63883.652805195503</v>
      </c>
      <c r="N22" s="13">
        <f t="shared" si="4"/>
        <v>-66304.820017622551</v>
      </c>
      <c r="Q22" s="1">
        <v>3</v>
      </c>
      <c r="R22" s="1">
        <v>-70363.247430733201</v>
      </c>
    </row>
    <row r="23" spans="4:18" x14ac:dyDescent="0.2">
      <c r="D23" s="1">
        <v>4</v>
      </c>
      <c r="E23" s="1">
        <v>7.4099999999999999E-2</v>
      </c>
      <c r="F23" s="1">
        <f t="shared" si="6"/>
        <v>25988.890707000002</v>
      </c>
      <c r="G23" s="1">
        <f>$C$8</f>
        <v>2075625.3654684001</v>
      </c>
      <c r="H23" s="1">
        <f t="shared" si="1"/>
        <v>2101614.2561754002</v>
      </c>
      <c r="I23" s="1">
        <f t="shared" si="2"/>
        <v>2603739.9645235953</v>
      </c>
      <c r="J23" s="1">
        <f t="shared" si="3"/>
        <v>200850.28333927804</v>
      </c>
      <c r="K23" s="13">
        <f t="shared" ref="K23" si="7">I23-H23-J23</f>
        <v>301275.42500891699</v>
      </c>
      <c r="L23" s="13">
        <f t="shared" si="5"/>
        <v>327264.31571591698</v>
      </c>
      <c r="M23" s="13">
        <f>L23/(1+$C$13)^D23</f>
        <v>37372.11214896095</v>
      </c>
      <c r="N23" s="13">
        <f t="shared" si="4"/>
        <v>-28932.707868661601</v>
      </c>
      <c r="Q23" s="1">
        <v>4</v>
      </c>
      <c r="R23" s="1">
        <v>-28609.312131811494</v>
      </c>
    </row>
    <row r="24" spans="4:18" x14ac:dyDescent="0.2">
      <c r="D24" s="1">
        <v>5</v>
      </c>
      <c r="E24" s="1">
        <v>0</v>
      </c>
      <c r="F24" s="22">
        <f>($C$2-$C$10)*E24</f>
        <v>0</v>
      </c>
      <c r="G24" s="1">
        <f>$C$8</f>
        <v>2075625.3654684001</v>
      </c>
      <c r="H24" s="1">
        <f t="shared" si="1"/>
        <v>2075625.3654684001</v>
      </c>
      <c r="I24" s="1">
        <f t="shared" si="2"/>
        <v>2603739.9645235953</v>
      </c>
      <c r="J24" s="1">
        <f t="shared" si="3"/>
        <v>211245.83962207811</v>
      </c>
      <c r="K24" s="13">
        <f>I24-H24-J24+C3+C1+C10</f>
        <v>435839.96943311708</v>
      </c>
      <c r="L24" s="13">
        <f>K24+F24</f>
        <v>435839.96943311708</v>
      </c>
      <c r="M24" s="13">
        <f>L24/(1+$C$13)^D24</f>
        <v>28932.655316947323</v>
      </c>
      <c r="N24" s="13">
        <f t="shared" si="4"/>
        <v>-5.2551714277797146E-2</v>
      </c>
      <c r="Q24" s="23">
        <v>5</v>
      </c>
      <c r="R24" s="1">
        <v>-6.7835614026989788E-4</v>
      </c>
    </row>
    <row r="25" spans="4:18" x14ac:dyDescent="0.2">
      <c r="D25" s="2"/>
      <c r="E25" s="2"/>
      <c r="F25" s="24"/>
      <c r="G25" s="2"/>
      <c r="H25" s="2"/>
      <c r="I25" s="2"/>
      <c r="J25" s="2"/>
      <c r="K25" s="2"/>
      <c r="L25" s="2"/>
      <c r="M25" s="2"/>
      <c r="N25" s="2"/>
      <c r="Q25" s="2"/>
      <c r="R25" s="2"/>
    </row>
    <row r="26" spans="4:18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2"/>
      <c r="R26" s="2"/>
    </row>
    <row r="27" spans="4:18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2"/>
      <c r="R27" s="2"/>
    </row>
    <row r="28" spans="4:18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Q28" s="2"/>
      <c r="R28" s="2"/>
    </row>
    <row r="29" spans="4:18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2"/>
      <c r="R29" s="2"/>
    </row>
    <row r="30" spans="4:18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Q30" s="2"/>
      <c r="R30" s="2"/>
    </row>
    <row r="31" spans="4:18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4:18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3880-A8A9-7943-B341-E6EC57126C84}">
  <dimension ref="A1:R32"/>
  <sheetViews>
    <sheetView zoomScale="80" zoomScaleNormal="80" workbookViewId="0">
      <selection activeCell="C13" sqref="C13"/>
    </sheetView>
  </sheetViews>
  <sheetFormatPr baseColWidth="10" defaultRowHeight="15" x14ac:dyDescent="0.2"/>
  <cols>
    <col min="3" max="3" width="14.33203125" bestFit="1" customWidth="1"/>
    <col min="6" max="6" width="12.83203125" bestFit="1" customWidth="1"/>
    <col min="7" max="7" width="14.33203125" bestFit="1" customWidth="1"/>
    <col min="8" max="8" width="14.5" bestFit="1" customWidth="1"/>
    <col min="11" max="11" width="14.5" customWidth="1"/>
    <col min="12" max="12" width="31.83203125" customWidth="1"/>
    <col min="13" max="13" width="14.6640625" customWidth="1"/>
    <col min="14" max="14" width="22" customWidth="1"/>
  </cols>
  <sheetData>
    <row r="1" spans="1:9" x14ac:dyDescent="0.2">
      <c r="A1" t="s">
        <v>27</v>
      </c>
      <c r="B1" t="s">
        <v>26</v>
      </c>
      <c r="C1" s="3">
        <v>20848.48</v>
      </c>
      <c r="H1" t="s">
        <v>1</v>
      </c>
      <c r="I1" t="s">
        <v>6</v>
      </c>
    </row>
    <row r="2" spans="1:9" x14ac:dyDescent="0.2">
      <c r="A2" t="s">
        <v>25</v>
      </c>
      <c r="B2" t="s">
        <v>24</v>
      </c>
      <c r="C2" s="3">
        <f>'COMd Calculations'!Q7</f>
        <v>372000</v>
      </c>
      <c r="H2">
        <v>0</v>
      </c>
      <c r="I2">
        <f>(C1+C2+C3)*-1</f>
        <v>-457948.48</v>
      </c>
    </row>
    <row r="3" spans="1:9" x14ac:dyDescent="0.2">
      <c r="A3" t="s">
        <v>23</v>
      </c>
      <c r="C3" s="26">
        <f>0.175*C2</f>
        <v>65099.999999999993</v>
      </c>
      <c r="H3">
        <v>1</v>
      </c>
      <c r="I3">
        <f t="shared" ref="I3:I7" si="0">$C$7-$C$8</f>
        <v>646147.37893232633</v>
      </c>
    </row>
    <row r="4" spans="1:9" x14ac:dyDescent="0.2">
      <c r="H4">
        <v>2</v>
      </c>
      <c r="I4">
        <f t="shared" si="0"/>
        <v>646147.37893232633</v>
      </c>
    </row>
    <row r="5" spans="1:9" x14ac:dyDescent="0.2">
      <c r="H5">
        <v>3</v>
      </c>
      <c r="I5">
        <f t="shared" si="0"/>
        <v>646147.37893232633</v>
      </c>
    </row>
    <row r="6" spans="1:9" x14ac:dyDescent="0.2">
      <c r="H6">
        <v>4</v>
      </c>
      <c r="I6">
        <f t="shared" si="0"/>
        <v>646147.37893232633</v>
      </c>
    </row>
    <row r="7" spans="1:9" x14ac:dyDescent="0.2">
      <c r="A7" t="s">
        <v>22</v>
      </c>
      <c r="B7" t="s">
        <v>21</v>
      </c>
      <c r="C7" s="30">
        <f>'COMd Calculations'!Q31</f>
        <v>2701292.3281809264</v>
      </c>
      <c r="H7">
        <v>5</v>
      </c>
      <c r="I7">
        <f t="shared" si="0"/>
        <v>646147.37893232633</v>
      </c>
    </row>
    <row r="8" spans="1:9" x14ac:dyDescent="0.2">
      <c r="A8" t="s">
        <v>20</v>
      </c>
      <c r="B8" t="s">
        <v>19</v>
      </c>
      <c r="C8" s="25">
        <f>'COMd Calculations'!Q28</f>
        <v>2055144.9492486001</v>
      </c>
    </row>
    <row r="9" spans="1:9" x14ac:dyDescent="0.2">
      <c r="A9" t="s">
        <v>18</v>
      </c>
      <c r="B9" t="s">
        <v>17</v>
      </c>
      <c r="C9">
        <v>0.4</v>
      </c>
    </row>
    <row r="10" spans="1:9" x14ac:dyDescent="0.2">
      <c r="A10" t="s">
        <v>16</v>
      </c>
      <c r="B10" t="s">
        <v>15</v>
      </c>
      <c r="C10" s="32">
        <v>31272.73</v>
      </c>
    </row>
    <row r="11" spans="1:9" x14ac:dyDescent="0.2">
      <c r="A11" t="s">
        <v>14</v>
      </c>
    </row>
    <row r="12" spans="1:9" x14ac:dyDescent="0.2">
      <c r="A12" t="s">
        <v>13</v>
      </c>
      <c r="C12">
        <v>5</v>
      </c>
    </row>
    <row r="13" spans="1:9" x14ac:dyDescent="0.2">
      <c r="A13" t="s">
        <v>12</v>
      </c>
      <c r="C13">
        <v>0.90589814068210472</v>
      </c>
    </row>
    <row r="14" spans="1:9" x14ac:dyDescent="0.2">
      <c r="A14" t="s">
        <v>11</v>
      </c>
      <c r="C14" s="31">
        <f>'COMd Calculations'!Q3</f>
        <v>21080</v>
      </c>
    </row>
    <row r="18" spans="4:18" x14ac:dyDescent="0.2">
      <c r="D18" s="1" t="s">
        <v>1</v>
      </c>
      <c r="E18" s="1" t="s">
        <v>10</v>
      </c>
      <c r="F18" s="1" t="s">
        <v>9</v>
      </c>
      <c r="G18" s="1" t="s">
        <v>8</v>
      </c>
      <c r="H18" s="1" t="s">
        <v>7</v>
      </c>
      <c r="I18" s="1" t="s">
        <v>6</v>
      </c>
      <c r="J18" s="1" t="s">
        <v>5</v>
      </c>
      <c r="K18" s="1" t="s">
        <v>4</v>
      </c>
      <c r="L18" s="1" t="s">
        <v>3</v>
      </c>
      <c r="M18" s="1" t="s">
        <v>2</v>
      </c>
      <c r="N18" s="1" t="s">
        <v>0</v>
      </c>
      <c r="Q18" s="1" t="s">
        <v>1</v>
      </c>
      <c r="R18" t="s">
        <v>0</v>
      </c>
    </row>
    <row r="19" spans="4:18" x14ac:dyDescent="0.2">
      <c r="D19" s="1">
        <v>0</v>
      </c>
      <c r="E19" s="1"/>
      <c r="F19" s="1"/>
      <c r="G19" s="1"/>
      <c r="H19" s="27">
        <f>(C1+C2+C3)*-1</f>
        <v>-457948.48</v>
      </c>
      <c r="I19" s="1"/>
      <c r="J19" s="1"/>
      <c r="K19" s="13"/>
      <c r="L19" s="13">
        <f>H19</f>
        <v>-457948.48</v>
      </c>
      <c r="M19" s="13">
        <f>L19</f>
        <v>-457948.48</v>
      </c>
      <c r="N19" s="13">
        <f>M19</f>
        <v>-457948.48</v>
      </c>
      <c r="Q19" s="1">
        <v>0</v>
      </c>
      <c r="R19" s="1">
        <v>-361000</v>
      </c>
    </row>
    <row r="20" spans="4:18" x14ac:dyDescent="0.2">
      <c r="D20" s="1">
        <v>1</v>
      </c>
      <c r="E20" s="1">
        <v>0.33300000000000002</v>
      </c>
      <c r="F20" s="22">
        <f>($C$2-$C$10)*E20</f>
        <v>113462.18091000001</v>
      </c>
      <c r="G20" s="1">
        <f>$C$8</f>
        <v>2055144.9492486001</v>
      </c>
      <c r="H20" s="1">
        <f t="shared" ref="H20:H24" si="1">G20+F20</f>
        <v>2168607.1301585999</v>
      </c>
      <c r="I20" s="1">
        <f t="shared" ref="I20:I24" si="2">$C$7</f>
        <v>2701292.3281809264</v>
      </c>
      <c r="J20" s="1">
        <f t="shared" ref="J20:J24" si="3">(I20-H20)*$C$9</f>
        <v>213074.07920893061</v>
      </c>
      <c r="K20" s="13">
        <f>I20-H20-J20</f>
        <v>319611.11881339585</v>
      </c>
      <c r="L20" s="13">
        <f>K20+F20</f>
        <v>433073.29972339584</v>
      </c>
      <c r="M20" s="13">
        <f>L20/(1+C13)</f>
        <v>227227.935470047</v>
      </c>
      <c r="N20" s="13">
        <f t="shared" ref="N20:N24" si="4">N19+M20</f>
        <v>-230720.54452995298</v>
      </c>
      <c r="Q20" s="1">
        <v>1</v>
      </c>
      <c r="R20" s="1">
        <v>-231558.89929727386</v>
      </c>
    </row>
    <row r="21" spans="4:18" x14ac:dyDescent="0.2">
      <c r="D21" s="1">
        <v>2</v>
      </c>
      <c r="E21" s="1">
        <v>0.44450000000000001</v>
      </c>
      <c r="F21" s="22">
        <f>($C$2-$C$10)*E21</f>
        <v>151453.271515</v>
      </c>
      <c r="G21" s="1">
        <f>$C$8</f>
        <v>2055144.9492486001</v>
      </c>
      <c r="H21" s="1">
        <f t="shared" si="1"/>
        <v>2206598.2207636</v>
      </c>
      <c r="I21" s="1">
        <f t="shared" si="2"/>
        <v>2701292.3281809264</v>
      </c>
      <c r="J21" s="1">
        <f t="shared" si="3"/>
        <v>197877.64296693058</v>
      </c>
      <c r="K21" s="13">
        <f>I21-H21-J21</f>
        <v>296816.46445039584</v>
      </c>
      <c r="L21" s="13">
        <f t="shared" ref="L21:L23" si="5">K21+F21</f>
        <v>448269.73596539581</v>
      </c>
      <c r="M21" s="13">
        <f>L21/(1+$C$13)^D21</f>
        <v>123407.07153734007</v>
      </c>
      <c r="N21" s="13">
        <f t="shared" si="4"/>
        <v>-107313.47299261291</v>
      </c>
      <c r="Q21" s="1">
        <v>2</v>
      </c>
      <c r="R21" s="1">
        <v>-126441.54522197257</v>
      </c>
    </row>
    <row r="22" spans="4:18" x14ac:dyDescent="0.2">
      <c r="D22" s="1">
        <v>3</v>
      </c>
      <c r="E22" s="1">
        <v>0.14810000000000001</v>
      </c>
      <c r="F22" s="1">
        <f t="shared" ref="F22:F23" si="6">($C$2-$C$10)*E22</f>
        <v>50461.708687000006</v>
      </c>
      <c r="G22" s="22">
        <f>$C$8+C14</f>
        <v>2076224.9492486001</v>
      </c>
      <c r="H22" s="1">
        <f t="shared" si="1"/>
        <v>2126686.6579356003</v>
      </c>
      <c r="I22" s="1">
        <f t="shared" si="2"/>
        <v>2701292.3281809264</v>
      </c>
      <c r="J22" s="1">
        <f t="shared" si="3"/>
        <v>229842.26809813047</v>
      </c>
      <c r="K22" s="13">
        <f>I22-H22-J22</f>
        <v>344763.40214719565</v>
      </c>
      <c r="L22" s="13">
        <f t="shared" si="5"/>
        <v>395225.11083419563</v>
      </c>
      <c r="M22" s="13">
        <f>L22/(1+$C$13)^D22</f>
        <v>57088.084448107031</v>
      </c>
      <c r="N22" s="13">
        <f t="shared" si="4"/>
        <v>-50225.388544505877</v>
      </c>
      <c r="Q22" s="1">
        <v>3</v>
      </c>
      <c r="R22" s="1">
        <v>-70363.247430733201</v>
      </c>
    </row>
    <row r="23" spans="4:18" x14ac:dyDescent="0.2">
      <c r="D23" s="1">
        <v>4</v>
      </c>
      <c r="E23" s="1">
        <v>7.4099999999999999E-2</v>
      </c>
      <c r="F23" s="1">
        <f t="shared" si="6"/>
        <v>25247.890707000002</v>
      </c>
      <c r="G23" s="1">
        <f>$C$8</f>
        <v>2055144.9492486001</v>
      </c>
      <c r="H23" s="1">
        <f t="shared" si="1"/>
        <v>2080392.8399556</v>
      </c>
      <c r="I23" s="1">
        <f t="shared" si="2"/>
        <v>2701292.3281809264</v>
      </c>
      <c r="J23" s="1">
        <f t="shared" si="3"/>
        <v>248359.79529013057</v>
      </c>
      <c r="K23" s="13">
        <f t="shared" ref="K23" si="7">I23-H23-J23</f>
        <v>372539.69293519587</v>
      </c>
      <c r="L23" s="13">
        <f t="shared" si="5"/>
        <v>397787.58364219585</v>
      </c>
      <c r="M23" s="13">
        <f>L23/(1+$C$13)^D23</f>
        <v>30147.581482097372</v>
      </c>
      <c r="N23" s="13">
        <f t="shared" si="4"/>
        <v>-20077.807062408505</v>
      </c>
      <c r="Q23" s="1">
        <v>4</v>
      </c>
      <c r="R23" s="1">
        <v>-28609.312131811494</v>
      </c>
    </row>
    <row r="24" spans="4:18" x14ac:dyDescent="0.2">
      <c r="D24" s="1">
        <v>5</v>
      </c>
      <c r="E24" s="1">
        <v>0</v>
      </c>
      <c r="F24" s="22">
        <f>($C$2-$C$10)*E24</f>
        <v>0</v>
      </c>
      <c r="G24" s="1">
        <f>$C$8</f>
        <v>2055144.9492486001</v>
      </c>
      <c r="H24" s="1">
        <f t="shared" si="1"/>
        <v>2055144.9492486001</v>
      </c>
      <c r="I24" s="1">
        <f t="shared" si="2"/>
        <v>2701292.3281809264</v>
      </c>
      <c r="J24" s="1">
        <f t="shared" si="3"/>
        <v>258458.95157293056</v>
      </c>
      <c r="K24" s="13">
        <f>I24-H24-J24+C3+C1+C10</f>
        <v>504909.63735939574</v>
      </c>
      <c r="L24" s="13">
        <f>K24+F24</f>
        <v>504909.63735939574</v>
      </c>
      <c r="M24" s="13">
        <f>L24/(1+$C$13)^D24</f>
        <v>20077.758605226536</v>
      </c>
      <c r="N24" s="13">
        <f t="shared" si="4"/>
        <v>-4.8457181968842633E-2</v>
      </c>
      <c r="Q24" s="23">
        <v>5</v>
      </c>
      <c r="R24" s="1">
        <v>-6.7835614026989788E-4</v>
      </c>
    </row>
    <row r="25" spans="4:18" x14ac:dyDescent="0.2">
      <c r="D25" s="2"/>
      <c r="E25" s="2"/>
      <c r="F25" s="24"/>
      <c r="G25" s="2"/>
      <c r="H25" s="2"/>
      <c r="I25" s="2"/>
      <c r="J25" s="2"/>
      <c r="K25" s="2"/>
      <c r="L25" s="2"/>
      <c r="M25" s="2"/>
      <c r="N25" s="2"/>
      <c r="Q25" s="2"/>
      <c r="R25" s="2"/>
    </row>
    <row r="26" spans="4:18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2"/>
      <c r="R26" s="2"/>
    </row>
    <row r="27" spans="4:18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2"/>
      <c r="R27" s="2"/>
    </row>
    <row r="28" spans="4:18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Q28" s="2"/>
      <c r="R28" s="2"/>
    </row>
    <row r="29" spans="4:18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2"/>
      <c r="R29" s="2"/>
    </row>
    <row r="30" spans="4:18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Q30" s="2"/>
      <c r="R30" s="2"/>
    </row>
    <row r="31" spans="4:18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4:18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BF1F-23A1-0440-967E-7DE7F5D646AC}">
  <dimension ref="A1:R32"/>
  <sheetViews>
    <sheetView zoomScale="80" zoomScaleNormal="80" workbookViewId="0">
      <selection activeCell="C13" sqref="C13"/>
    </sheetView>
  </sheetViews>
  <sheetFormatPr baseColWidth="10" defaultRowHeight="15" x14ac:dyDescent="0.2"/>
  <cols>
    <col min="3" max="3" width="14.33203125" bestFit="1" customWidth="1"/>
    <col min="6" max="6" width="12.83203125" bestFit="1" customWidth="1"/>
    <col min="7" max="7" width="14.33203125" bestFit="1" customWidth="1"/>
    <col min="8" max="8" width="14.5" bestFit="1" customWidth="1"/>
    <col min="11" max="11" width="14.5" customWidth="1"/>
    <col min="12" max="12" width="31.83203125" customWidth="1"/>
    <col min="13" max="13" width="14.6640625" customWidth="1"/>
    <col min="14" max="14" width="22" customWidth="1"/>
  </cols>
  <sheetData>
    <row r="1" spans="1:9" x14ac:dyDescent="0.2">
      <c r="A1" t="s">
        <v>27</v>
      </c>
      <c r="B1" t="s">
        <v>26</v>
      </c>
      <c r="C1" s="3">
        <v>20848.48</v>
      </c>
      <c r="H1" t="s">
        <v>1</v>
      </c>
      <c r="I1" t="s">
        <v>6</v>
      </c>
    </row>
    <row r="2" spans="1:9" x14ac:dyDescent="0.2">
      <c r="A2" t="s">
        <v>25</v>
      </c>
      <c r="B2" t="s">
        <v>24</v>
      </c>
      <c r="C2" s="3">
        <f>'COMd Calculations'!T7</f>
        <v>383000</v>
      </c>
      <c r="H2">
        <v>0</v>
      </c>
      <c r="I2">
        <f>(C1+C2+C3)*-1</f>
        <v>-470873.48</v>
      </c>
    </row>
    <row r="3" spans="1:9" x14ac:dyDescent="0.2">
      <c r="A3" t="s">
        <v>23</v>
      </c>
      <c r="C3" s="26">
        <f>0.175*C2</f>
        <v>67025</v>
      </c>
      <c r="H3">
        <v>1</v>
      </c>
      <c r="I3">
        <f t="shared" ref="I3:I7" si="0">$C$7-$C$8</f>
        <v>727870.41948262602</v>
      </c>
    </row>
    <row r="4" spans="1:9" x14ac:dyDescent="0.2">
      <c r="H4">
        <v>2</v>
      </c>
      <c r="I4">
        <f t="shared" si="0"/>
        <v>727870.41948262602</v>
      </c>
    </row>
    <row r="5" spans="1:9" x14ac:dyDescent="0.2">
      <c r="H5">
        <v>3</v>
      </c>
      <c r="I5">
        <f t="shared" si="0"/>
        <v>727870.41948262602</v>
      </c>
    </row>
    <row r="6" spans="1:9" x14ac:dyDescent="0.2">
      <c r="H6">
        <v>4</v>
      </c>
      <c r="I6">
        <f t="shared" si="0"/>
        <v>727870.41948262602</v>
      </c>
    </row>
    <row r="7" spans="1:9" x14ac:dyDescent="0.2">
      <c r="A7" t="s">
        <v>22</v>
      </c>
      <c r="B7" t="s">
        <v>21</v>
      </c>
      <c r="C7" s="30">
        <f>'COMd Calculations'!T31</f>
        <v>2796143.0414600261</v>
      </c>
      <c r="H7">
        <v>5</v>
      </c>
      <c r="I7">
        <f t="shared" si="0"/>
        <v>727870.41948262602</v>
      </c>
    </row>
    <row r="8" spans="1:9" x14ac:dyDescent="0.2">
      <c r="A8" t="s">
        <v>20</v>
      </c>
      <c r="B8" t="s">
        <v>19</v>
      </c>
      <c r="C8" s="25">
        <f>'COMd Calculations'!T28</f>
        <v>2068272.6219774</v>
      </c>
    </row>
    <row r="9" spans="1:9" x14ac:dyDescent="0.2">
      <c r="A9" t="s">
        <v>18</v>
      </c>
      <c r="B9" t="s">
        <v>17</v>
      </c>
      <c r="C9">
        <v>0.4</v>
      </c>
    </row>
    <row r="10" spans="1:9" x14ac:dyDescent="0.2">
      <c r="A10" t="s">
        <v>16</v>
      </c>
      <c r="B10" t="s">
        <v>15</v>
      </c>
      <c r="C10" s="32">
        <v>31272.73</v>
      </c>
    </row>
    <row r="11" spans="1:9" x14ac:dyDescent="0.2">
      <c r="A11" t="s">
        <v>14</v>
      </c>
    </row>
    <row r="12" spans="1:9" x14ac:dyDescent="0.2">
      <c r="A12" t="s">
        <v>13</v>
      </c>
      <c r="C12">
        <v>5</v>
      </c>
    </row>
    <row r="13" spans="1:9" x14ac:dyDescent="0.2">
      <c r="A13" t="s">
        <v>12</v>
      </c>
      <c r="C13">
        <v>0.9920762982744179</v>
      </c>
    </row>
    <row r="14" spans="1:9" x14ac:dyDescent="0.2">
      <c r="A14" t="s">
        <v>11</v>
      </c>
      <c r="C14" s="31">
        <f>'COMd Calculations'!T3</f>
        <v>22100</v>
      </c>
    </row>
    <row r="18" spans="4:18" x14ac:dyDescent="0.2">
      <c r="D18" s="1" t="s">
        <v>1</v>
      </c>
      <c r="E18" s="1" t="s">
        <v>10</v>
      </c>
      <c r="F18" s="1" t="s">
        <v>9</v>
      </c>
      <c r="G18" s="1" t="s">
        <v>8</v>
      </c>
      <c r="H18" s="1" t="s">
        <v>7</v>
      </c>
      <c r="I18" s="1" t="s">
        <v>6</v>
      </c>
      <c r="J18" s="1" t="s">
        <v>5</v>
      </c>
      <c r="K18" s="1" t="s">
        <v>4</v>
      </c>
      <c r="L18" s="1" t="s">
        <v>3</v>
      </c>
      <c r="M18" s="1" t="s">
        <v>2</v>
      </c>
      <c r="N18" s="1" t="s">
        <v>0</v>
      </c>
      <c r="Q18" s="1" t="s">
        <v>1</v>
      </c>
      <c r="R18" t="s">
        <v>0</v>
      </c>
    </row>
    <row r="19" spans="4:18" x14ac:dyDescent="0.2">
      <c r="D19" s="1">
        <v>0</v>
      </c>
      <c r="E19" s="1"/>
      <c r="F19" s="1"/>
      <c r="G19" s="1"/>
      <c r="H19" s="27">
        <f>(C1+C2+C3)*-1</f>
        <v>-470873.48</v>
      </c>
      <c r="I19" s="1"/>
      <c r="J19" s="1"/>
      <c r="K19" s="13"/>
      <c r="L19" s="13">
        <f>H19</f>
        <v>-470873.48</v>
      </c>
      <c r="M19" s="13">
        <f>L19</f>
        <v>-470873.48</v>
      </c>
      <c r="N19" s="13">
        <f>M19</f>
        <v>-470873.48</v>
      </c>
      <c r="Q19" s="1">
        <v>0</v>
      </c>
      <c r="R19" s="1">
        <v>-361000</v>
      </c>
    </row>
    <row r="20" spans="4:18" x14ac:dyDescent="0.2">
      <c r="D20" s="1">
        <v>1</v>
      </c>
      <c r="E20" s="1">
        <v>0.33300000000000002</v>
      </c>
      <c r="F20" s="22">
        <f>($C$2-$C$10)*E20</f>
        <v>117125.18091000001</v>
      </c>
      <c r="G20" s="1">
        <f>$C$8</f>
        <v>2068272.6219774</v>
      </c>
      <c r="H20" s="1">
        <f t="shared" ref="H20:H24" si="1">G20+F20</f>
        <v>2185397.8028874001</v>
      </c>
      <c r="I20" s="1">
        <f t="shared" ref="I20:I24" si="2">$C$7</f>
        <v>2796143.0414600261</v>
      </c>
      <c r="J20" s="1">
        <f t="shared" ref="J20:J24" si="3">(I20-H20)*$C$9</f>
        <v>244298.09542905039</v>
      </c>
      <c r="K20" s="13">
        <f>I20-H20-J20</f>
        <v>366447.14314357552</v>
      </c>
      <c r="L20" s="13">
        <f>K20+F20</f>
        <v>483572.32405357552</v>
      </c>
      <c r="M20" s="13">
        <f>L20/(1+C13)</f>
        <v>242747.89297601549</v>
      </c>
      <c r="N20" s="13">
        <f t="shared" ref="N20:N24" si="4">N19+M20</f>
        <v>-228125.5870239845</v>
      </c>
      <c r="Q20" s="1">
        <v>1</v>
      </c>
      <c r="R20" s="1">
        <v>-231558.89929727386</v>
      </c>
    </row>
    <row r="21" spans="4:18" x14ac:dyDescent="0.2">
      <c r="D21" s="1">
        <v>2</v>
      </c>
      <c r="E21" s="1">
        <v>0.44450000000000001</v>
      </c>
      <c r="F21" s="22">
        <f>($C$2-$C$10)*E21</f>
        <v>156342.771515</v>
      </c>
      <c r="G21" s="1">
        <f>$C$8</f>
        <v>2068272.6219774</v>
      </c>
      <c r="H21" s="1">
        <f t="shared" si="1"/>
        <v>2224615.3934924002</v>
      </c>
      <c r="I21" s="1">
        <f t="shared" si="2"/>
        <v>2796143.0414600261</v>
      </c>
      <c r="J21" s="1">
        <f t="shared" si="3"/>
        <v>228611.05918705036</v>
      </c>
      <c r="K21" s="13">
        <f>I21-H21-J21</f>
        <v>342916.58878057555</v>
      </c>
      <c r="L21" s="13">
        <f t="shared" ref="L21:L23" si="5">K21+F21</f>
        <v>499259.36029557558</v>
      </c>
      <c r="M21" s="13">
        <f>L21/(1+$C$13)^D21</f>
        <v>125809.74421851317</v>
      </c>
      <c r="N21" s="13">
        <f t="shared" si="4"/>
        <v>-102315.84280547133</v>
      </c>
      <c r="Q21" s="1">
        <v>2</v>
      </c>
      <c r="R21" s="1">
        <v>-126441.54522197257</v>
      </c>
    </row>
    <row r="22" spans="4:18" x14ac:dyDescent="0.2">
      <c r="D22" s="1">
        <v>3</v>
      </c>
      <c r="E22" s="1">
        <v>0.14810000000000001</v>
      </c>
      <c r="F22" s="1">
        <f t="shared" ref="F22:F23" si="6">($C$2-$C$10)*E22</f>
        <v>52090.808687000004</v>
      </c>
      <c r="G22" s="22">
        <f>$C$8+C14</f>
        <v>2090372.6219774</v>
      </c>
      <c r="H22" s="1">
        <f t="shared" si="1"/>
        <v>2142463.4306644001</v>
      </c>
      <c r="I22" s="1">
        <f t="shared" si="2"/>
        <v>2796143.0414600261</v>
      </c>
      <c r="J22" s="1">
        <f t="shared" si="3"/>
        <v>261471.8443182504</v>
      </c>
      <c r="K22" s="13">
        <f>I22-H22-J22</f>
        <v>392207.76647737552</v>
      </c>
      <c r="L22" s="13">
        <f t="shared" si="5"/>
        <v>444298.57516437554</v>
      </c>
      <c r="M22" s="13">
        <f>L22/(1+$C$13)^D22</f>
        <v>56202.678768737205</v>
      </c>
      <c r="N22" s="13">
        <f t="shared" si="4"/>
        <v>-46113.164036734124</v>
      </c>
      <c r="Q22" s="1">
        <v>3</v>
      </c>
      <c r="R22" s="1">
        <v>-70363.247430733201</v>
      </c>
    </row>
    <row r="23" spans="4:18" x14ac:dyDescent="0.2">
      <c r="D23" s="1">
        <v>4</v>
      </c>
      <c r="E23" s="1">
        <v>7.4099999999999999E-2</v>
      </c>
      <c r="F23" s="1">
        <f t="shared" si="6"/>
        <v>26062.990707000001</v>
      </c>
      <c r="G23" s="1">
        <f>$C$8</f>
        <v>2068272.6219774</v>
      </c>
      <c r="H23" s="1">
        <f t="shared" si="1"/>
        <v>2094335.6126844001</v>
      </c>
      <c r="I23" s="1">
        <f t="shared" si="2"/>
        <v>2796143.0414600261</v>
      </c>
      <c r="J23" s="1">
        <f t="shared" si="3"/>
        <v>280722.97151025041</v>
      </c>
      <c r="K23" s="13">
        <f t="shared" ref="K23" si="7">I23-H23-J23</f>
        <v>421084.45726537559</v>
      </c>
      <c r="L23" s="13">
        <f t="shared" si="5"/>
        <v>447147.44797237561</v>
      </c>
      <c r="M23" s="13">
        <f>L23/(1+$C$13)^D23</f>
        <v>28394.01996421818</v>
      </c>
      <c r="N23" s="13">
        <f t="shared" si="4"/>
        <v>-17719.144072515945</v>
      </c>
      <c r="Q23" s="1">
        <v>4</v>
      </c>
      <c r="R23" s="1">
        <v>-28609.312131811494</v>
      </c>
    </row>
    <row r="24" spans="4:18" x14ac:dyDescent="0.2">
      <c r="D24" s="1">
        <v>5</v>
      </c>
      <c r="E24" s="1">
        <v>0</v>
      </c>
      <c r="F24" s="22">
        <f>($C$2-$C$10)*E24</f>
        <v>0</v>
      </c>
      <c r="G24" s="1">
        <f>$C$8</f>
        <v>2068272.6219774</v>
      </c>
      <c r="H24" s="1">
        <f t="shared" si="1"/>
        <v>2068272.6219774</v>
      </c>
      <c r="I24" s="1">
        <f t="shared" si="2"/>
        <v>2796143.0414600261</v>
      </c>
      <c r="J24" s="1">
        <f t="shared" si="3"/>
        <v>291148.16779305041</v>
      </c>
      <c r="K24" s="13">
        <f>I24-H24-J24+C3+C1+C10</f>
        <v>555868.46168957558</v>
      </c>
      <c r="L24" s="13">
        <f>K24+F24</f>
        <v>555868.46168957558</v>
      </c>
      <c r="M24" s="13">
        <f>L24/(1+$C$13)^D24</f>
        <v>17719.121774473155</v>
      </c>
      <c r="N24" s="13">
        <f t="shared" si="4"/>
        <v>-2.2298042789770989E-2</v>
      </c>
      <c r="Q24" s="23">
        <v>5</v>
      </c>
      <c r="R24" s="1">
        <v>-6.7835614026989788E-4</v>
      </c>
    </row>
    <row r="25" spans="4:18" x14ac:dyDescent="0.2">
      <c r="D25" s="2"/>
      <c r="E25" s="2"/>
      <c r="F25" s="24"/>
      <c r="G25" s="2"/>
      <c r="H25" s="2"/>
      <c r="I25" s="2"/>
      <c r="J25" s="2"/>
      <c r="K25" s="2"/>
      <c r="L25" s="2"/>
      <c r="M25" s="2"/>
      <c r="N25" s="2"/>
      <c r="Q25" s="2"/>
      <c r="R25" s="2"/>
    </row>
    <row r="26" spans="4:18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2"/>
      <c r="R26" s="2"/>
    </row>
    <row r="27" spans="4:18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2"/>
      <c r="R27" s="2"/>
    </row>
    <row r="28" spans="4:18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Q28" s="2"/>
      <c r="R28" s="2"/>
    </row>
    <row r="29" spans="4:18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2"/>
      <c r="R29" s="2"/>
    </row>
    <row r="30" spans="4:18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Q30" s="2"/>
      <c r="R30" s="2"/>
    </row>
    <row r="31" spans="4:18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4:18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2DE5-C712-EF4C-ABFC-107C8B05C8CE}">
  <dimension ref="A1:R32"/>
  <sheetViews>
    <sheetView zoomScale="80" zoomScaleNormal="80" workbookViewId="0">
      <selection activeCell="C13" sqref="C13"/>
    </sheetView>
  </sheetViews>
  <sheetFormatPr baseColWidth="10" defaultRowHeight="15" x14ac:dyDescent="0.2"/>
  <cols>
    <col min="3" max="3" width="14.33203125" bestFit="1" customWidth="1"/>
    <col min="6" max="6" width="12.83203125" bestFit="1" customWidth="1"/>
    <col min="7" max="7" width="14.33203125" bestFit="1" customWidth="1"/>
    <col min="8" max="8" width="14.5" bestFit="1" customWidth="1"/>
    <col min="11" max="11" width="14.5" customWidth="1"/>
    <col min="12" max="12" width="31.83203125" customWidth="1"/>
    <col min="13" max="13" width="14.6640625" customWidth="1"/>
    <col min="14" max="14" width="22" customWidth="1"/>
  </cols>
  <sheetData>
    <row r="1" spans="1:9" x14ac:dyDescent="0.2">
      <c r="A1" t="s">
        <v>27</v>
      </c>
      <c r="B1" t="s">
        <v>26</v>
      </c>
      <c r="C1" s="3">
        <v>20848.48</v>
      </c>
      <c r="H1" t="s">
        <v>1</v>
      </c>
      <c r="I1" t="s">
        <v>6</v>
      </c>
    </row>
    <row r="2" spans="1:9" x14ac:dyDescent="0.2">
      <c r="A2" t="s">
        <v>25</v>
      </c>
      <c r="B2" t="s">
        <v>24</v>
      </c>
      <c r="C2" s="3">
        <f>'COMd Calculations'!W7</f>
        <v>366000</v>
      </c>
      <c r="H2">
        <v>0</v>
      </c>
      <c r="I2">
        <f>(C1+C2+C3)*-1</f>
        <v>-450898.48</v>
      </c>
    </row>
    <row r="3" spans="1:9" x14ac:dyDescent="0.2">
      <c r="A3" t="s">
        <v>23</v>
      </c>
      <c r="C3" s="26">
        <f>0.175*C2</f>
        <v>64049.999999999993</v>
      </c>
      <c r="H3">
        <v>1</v>
      </c>
      <c r="I3">
        <f t="shared" ref="I3:I7" si="0">$C$7-$C$8</f>
        <v>871004.32959648967</v>
      </c>
    </row>
    <row r="4" spans="1:9" x14ac:dyDescent="0.2">
      <c r="H4">
        <v>2</v>
      </c>
      <c r="I4">
        <f t="shared" si="0"/>
        <v>871004.32959648967</v>
      </c>
    </row>
    <row r="5" spans="1:9" x14ac:dyDescent="0.2">
      <c r="H5">
        <v>3</v>
      </c>
      <c r="I5">
        <f t="shared" si="0"/>
        <v>871004.32959648967</v>
      </c>
    </row>
    <row r="6" spans="1:9" x14ac:dyDescent="0.2">
      <c r="H6">
        <v>4</v>
      </c>
      <c r="I6">
        <f t="shared" si="0"/>
        <v>871004.32959648967</v>
      </c>
    </row>
    <row r="7" spans="1:9" x14ac:dyDescent="0.2">
      <c r="A7" t="s">
        <v>22</v>
      </c>
      <c r="B7" t="s">
        <v>21</v>
      </c>
      <c r="C7" s="30">
        <f>'COMd Calculations'!W31</f>
        <v>2928719.2100206898</v>
      </c>
      <c r="H7">
        <v>5</v>
      </c>
      <c r="I7">
        <f t="shared" si="0"/>
        <v>871004.32959648967</v>
      </c>
    </row>
    <row r="8" spans="1:9" x14ac:dyDescent="0.2">
      <c r="A8" t="s">
        <v>20</v>
      </c>
      <c r="B8" t="s">
        <v>19</v>
      </c>
      <c r="C8" s="25">
        <f>'COMd Calculations'!W28</f>
        <v>2057714.8804242001</v>
      </c>
    </row>
    <row r="9" spans="1:9" x14ac:dyDescent="0.2">
      <c r="A9" t="s">
        <v>18</v>
      </c>
      <c r="B9" t="s">
        <v>17</v>
      </c>
      <c r="C9">
        <v>0.4</v>
      </c>
    </row>
    <row r="10" spans="1:9" x14ac:dyDescent="0.2">
      <c r="A10" t="s">
        <v>16</v>
      </c>
      <c r="B10" t="s">
        <v>15</v>
      </c>
      <c r="C10" s="32">
        <v>31272.73</v>
      </c>
    </row>
    <row r="11" spans="1:9" x14ac:dyDescent="0.2">
      <c r="A11" t="s">
        <v>14</v>
      </c>
    </row>
    <row r="12" spans="1:9" x14ac:dyDescent="0.2">
      <c r="A12" t="s">
        <v>13</v>
      </c>
      <c r="C12">
        <v>5</v>
      </c>
    </row>
    <row r="13" spans="1:9" x14ac:dyDescent="0.2">
      <c r="A13" t="s">
        <v>12</v>
      </c>
      <c r="C13">
        <v>1.2337383354928069</v>
      </c>
    </row>
    <row r="14" spans="1:9" x14ac:dyDescent="0.2">
      <c r="A14" t="s">
        <v>11</v>
      </c>
      <c r="C14" s="31">
        <f>'COMd Calculations'!W3</f>
        <v>22880</v>
      </c>
    </row>
    <row r="18" spans="4:18" x14ac:dyDescent="0.2">
      <c r="D18" s="1" t="s">
        <v>1</v>
      </c>
      <c r="E18" s="1" t="s">
        <v>10</v>
      </c>
      <c r="F18" s="1" t="s">
        <v>9</v>
      </c>
      <c r="G18" s="1" t="s">
        <v>8</v>
      </c>
      <c r="H18" s="1" t="s">
        <v>7</v>
      </c>
      <c r="I18" s="1" t="s">
        <v>6</v>
      </c>
      <c r="J18" s="1" t="s">
        <v>5</v>
      </c>
      <c r="K18" s="1" t="s">
        <v>4</v>
      </c>
      <c r="L18" s="1" t="s">
        <v>3</v>
      </c>
      <c r="M18" s="1" t="s">
        <v>2</v>
      </c>
      <c r="N18" s="1" t="s">
        <v>0</v>
      </c>
      <c r="Q18" s="1" t="s">
        <v>1</v>
      </c>
      <c r="R18" t="s">
        <v>0</v>
      </c>
    </row>
    <row r="19" spans="4:18" x14ac:dyDescent="0.2">
      <c r="D19" s="1">
        <v>0</v>
      </c>
      <c r="E19" s="1"/>
      <c r="F19" s="1"/>
      <c r="G19" s="1"/>
      <c r="H19" s="27">
        <f>(C1+C2+C3)*-1</f>
        <v>-450898.48</v>
      </c>
      <c r="I19" s="1"/>
      <c r="J19" s="1"/>
      <c r="K19" s="13"/>
      <c r="L19" s="13">
        <f>H19</f>
        <v>-450898.48</v>
      </c>
      <c r="M19" s="13">
        <f>L19</f>
        <v>-450898.48</v>
      </c>
      <c r="N19" s="13">
        <f>M19</f>
        <v>-450898.48</v>
      </c>
      <c r="Q19" s="1">
        <v>0</v>
      </c>
      <c r="R19" s="1">
        <v>-361000</v>
      </c>
    </row>
    <row r="20" spans="4:18" x14ac:dyDescent="0.2">
      <c r="D20" s="1">
        <v>1</v>
      </c>
      <c r="E20" s="1">
        <v>0.33300000000000002</v>
      </c>
      <c r="F20" s="22">
        <f>($C$2-$C$10)*E20</f>
        <v>111464.18091000001</v>
      </c>
      <c r="G20" s="1">
        <f>$C$8</f>
        <v>2057714.8804242001</v>
      </c>
      <c r="H20" s="1">
        <f t="shared" ref="H20:H24" si="1">G20+F20</f>
        <v>2169179.0613342002</v>
      </c>
      <c r="I20" s="1">
        <f t="shared" ref="I20:I24" si="2">$C$7</f>
        <v>2928719.2100206898</v>
      </c>
      <c r="J20" s="1">
        <f t="shared" ref="J20:J24" si="3">(I20-H20)*$C$9</f>
        <v>303816.05947459582</v>
      </c>
      <c r="K20" s="13">
        <f>I20-H20-J20</f>
        <v>455724.08921189373</v>
      </c>
      <c r="L20" s="13">
        <f>K20+F20</f>
        <v>567188.27012189373</v>
      </c>
      <c r="M20" s="13">
        <f>L20/(1+C13)</f>
        <v>253918.85034589822</v>
      </c>
      <c r="N20" s="13">
        <f t="shared" ref="N20:N24" si="4">N19+M20</f>
        <v>-196979.62965410177</v>
      </c>
      <c r="Q20" s="1">
        <v>1</v>
      </c>
      <c r="R20" s="1">
        <v>-231558.89929727386</v>
      </c>
    </row>
    <row r="21" spans="4:18" x14ac:dyDescent="0.2">
      <c r="D21" s="1">
        <v>2</v>
      </c>
      <c r="E21" s="1">
        <v>0.44450000000000001</v>
      </c>
      <c r="F21" s="22">
        <f>($C$2-$C$10)*E21</f>
        <v>148786.271515</v>
      </c>
      <c r="G21" s="1">
        <f>$C$8</f>
        <v>2057714.8804242001</v>
      </c>
      <c r="H21" s="1">
        <f t="shared" si="1"/>
        <v>2206501.1519392002</v>
      </c>
      <c r="I21" s="1">
        <f t="shared" si="2"/>
        <v>2928719.2100206898</v>
      </c>
      <c r="J21" s="1">
        <f t="shared" si="3"/>
        <v>288887.22323259583</v>
      </c>
      <c r="K21" s="13">
        <f>I21-H21-J21</f>
        <v>433330.83484889369</v>
      </c>
      <c r="L21" s="13">
        <f t="shared" ref="L21:L23" si="5">K21+F21</f>
        <v>582117.10636389372</v>
      </c>
      <c r="M21" s="13">
        <f>L21/(1+$C$13)^D21</f>
        <v>116666.39183323723</v>
      </c>
      <c r="N21" s="13">
        <f t="shared" si="4"/>
        <v>-80313.237820864539</v>
      </c>
      <c r="Q21" s="1">
        <v>2</v>
      </c>
      <c r="R21" s="1">
        <v>-126441.54522197257</v>
      </c>
    </row>
    <row r="22" spans="4:18" x14ac:dyDescent="0.2">
      <c r="D22" s="1">
        <v>3</v>
      </c>
      <c r="E22" s="1">
        <v>0.14810000000000001</v>
      </c>
      <c r="F22" s="1">
        <f t="shared" ref="F22:F23" si="6">($C$2-$C$10)*E22</f>
        <v>49573.108687000007</v>
      </c>
      <c r="G22" s="22">
        <f>$C$8+C14</f>
        <v>2080594.8804242001</v>
      </c>
      <c r="H22" s="1">
        <f t="shared" si="1"/>
        <v>2130167.9891112</v>
      </c>
      <c r="I22" s="1">
        <f t="shared" si="2"/>
        <v>2928719.2100206898</v>
      </c>
      <c r="J22" s="1">
        <f t="shared" si="3"/>
        <v>319420.48836379591</v>
      </c>
      <c r="K22" s="13">
        <f>I22-H22-J22</f>
        <v>479130.73254569387</v>
      </c>
      <c r="L22" s="13">
        <f t="shared" si="5"/>
        <v>528703.84123269387</v>
      </c>
      <c r="M22" s="13">
        <f>L22/(1+$C$13)^D22</f>
        <v>47436.820551555611</v>
      </c>
      <c r="N22" s="13">
        <f t="shared" si="4"/>
        <v>-32876.417269308928</v>
      </c>
      <c r="Q22" s="1">
        <v>3</v>
      </c>
      <c r="R22" s="1">
        <v>-70363.247430733201</v>
      </c>
    </row>
    <row r="23" spans="4:18" x14ac:dyDescent="0.2">
      <c r="D23" s="1">
        <v>4</v>
      </c>
      <c r="E23" s="1">
        <v>7.4099999999999999E-2</v>
      </c>
      <c r="F23" s="1">
        <f t="shared" si="6"/>
        <v>24803.290707</v>
      </c>
      <c r="G23" s="1">
        <f>$C$8</f>
        <v>2057714.8804242001</v>
      </c>
      <c r="H23" s="1">
        <f t="shared" si="1"/>
        <v>2082518.1711312002</v>
      </c>
      <c r="I23" s="1">
        <f t="shared" si="2"/>
        <v>2928719.2100206898</v>
      </c>
      <c r="J23" s="1">
        <f t="shared" si="3"/>
        <v>338480.41555579589</v>
      </c>
      <c r="K23" s="13">
        <f t="shared" ref="K23" si="7">I23-H23-J23</f>
        <v>507720.62333369371</v>
      </c>
      <c r="L23" s="13">
        <f t="shared" si="5"/>
        <v>532523.91404069366</v>
      </c>
      <c r="M23" s="13">
        <f>L23/(1+$C$13)^D23</f>
        <v>21389.957654766589</v>
      </c>
      <c r="N23" s="13">
        <f t="shared" si="4"/>
        <v>-11486.459614542338</v>
      </c>
      <c r="Q23" s="1">
        <v>4</v>
      </c>
      <c r="R23" s="1">
        <v>-28609.312131811494</v>
      </c>
    </row>
    <row r="24" spans="4:18" x14ac:dyDescent="0.2">
      <c r="D24" s="1">
        <v>5</v>
      </c>
      <c r="E24" s="1">
        <v>0</v>
      </c>
      <c r="F24" s="22">
        <f>($C$2-$C$10)*E24</f>
        <v>0</v>
      </c>
      <c r="G24" s="1">
        <f>$C$8</f>
        <v>2057714.8804242001</v>
      </c>
      <c r="H24" s="1">
        <f t="shared" si="1"/>
        <v>2057714.8804242001</v>
      </c>
      <c r="I24" s="1">
        <f t="shared" si="2"/>
        <v>2928719.2100206898</v>
      </c>
      <c r="J24" s="1">
        <f t="shared" si="3"/>
        <v>348401.73183859588</v>
      </c>
      <c r="K24" s="13">
        <f>I24-H24-J24+C3+C10+C1</f>
        <v>638773.80775789369</v>
      </c>
      <c r="L24" s="13">
        <f>K24+F24</f>
        <v>638773.80775789369</v>
      </c>
      <c r="M24" s="13">
        <f>L24/(1+$C$13)^D24</f>
        <v>11486.444322777061</v>
      </c>
      <c r="N24" s="13">
        <f t="shared" si="4"/>
        <v>-1.5291765277652303E-2</v>
      </c>
      <c r="Q24" s="23">
        <v>5</v>
      </c>
      <c r="R24" s="1">
        <v>-6.7835614026989788E-4</v>
      </c>
    </row>
    <row r="25" spans="4:18" x14ac:dyDescent="0.2">
      <c r="D25" s="2"/>
      <c r="E25" s="2"/>
      <c r="F25" s="24"/>
      <c r="G25" s="2"/>
      <c r="H25" s="2"/>
      <c r="I25" s="2"/>
      <c r="J25" s="2"/>
      <c r="K25" s="2"/>
      <c r="L25" s="2"/>
      <c r="M25" s="2"/>
      <c r="N25" s="2"/>
      <c r="Q25" s="2"/>
      <c r="R25" s="2"/>
    </row>
    <row r="26" spans="4:18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2"/>
      <c r="R26" s="2"/>
    </row>
    <row r="27" spans="4:18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2"/>
      <c r="R27" s="2"/>
    </row>
    <row r="28" spans="4:18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Q28" s="2"/>
      <c r="R28" s="2"/>
    </row>
    <row r="29" spans="4:18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2"/>
      <c r="R29" s="2"/>
    </row>
    <row r="30" spans="4:18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Q30" s="2"/>
      <c r="R30" s="2"/>
    </row>
    <row r="31" spans="4:18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4:18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B9D0-29D9-4341-9E45-DF7020538731}">
  <dimension ref="A1:W38"/>
  <sheetViews>
    <sheetView topLeftCell="C1" zoomScale="75" workbookViewId="0">
      <selection activeCell="H28" sqref="H28"/>
    </sheetView>
  </sheetViews>
  <sheetFormatPr baseColWidth="10" defaultRowHeight="15" x14ac:dyDescent="0.2"/>
  <cols>
    <col min="1" max="1" width="21" customWidth="1"/>
    <col min="2" max="2" width="13.6640625" bestFit="1" customWidth="1"/>
    <col min="5" max="5" width="14.33203125" customWidth="1"/>
    <col min="8" max="8" width="15.33203125" customWidth="1"/>
    <col min="11" max="11" width="16.33203125" customWidth="1"/>
    <col min="14" max="14" width="15.33203125" customWidth="1"/>
    <col min="17" max="17" width="15.83203125" customWidth="1"/>
    <col min="20" max="20" width="14" customWidth="1"/>
    <col min="23" max="23" width="13.5" customWidth="1"/>
  </cols>
  <sheetData>
    <row r="1" spans="1:23" x14ac:dyDescent="0.2">
      <c r="A1" s="35">
        <v>60936.17755</v>
      </c>
      <c r="B1" s="36"/>
      <c r="D1" s="35">
        <v>66973.137499999997</v>
      </c>
      <c r="E1" s="36"/>
      <c r="G1" s="35">
        <v>69994.746199999994</v>
      </c>
      <c r="H1" s="36"/>
      <c r="J1" s="35">
        <v>74993.978789999994</v>
      </c>
      <c r="K1" s="36"/>
      <c r="M1" s="35">
        <v>79992.783930000005</v>
      </c>
      <c r="N1" s="36"/>
      <c r="P1" s="35">
        <v>82989.444279999996</v>
      </c>
      <c r="Q1" s="36"/>
      <c r="S1" s="35">
        <v>85903.976250000007</v>
      </c>
      <c r="T1" s="36"/>
      <c r="V1" s="35">
        <v>89976.800600000002</v>
      </c>
      <c r="W1" s="36"/>
    </row>
    <row r="2" spans="1:23" x14ac:dyDescent="0.2">
      <c r="A2" s="5" t="s">
        <v>68</v>
      </c>
      <c r="B2" s="6">
        <v>79.5</v>
      </c>
      <c r="D2" s="5" t="s">
        <v>68</v>
      </c>
      <c r="E2" s="6">
        <v>85</v>
      </c>
      <c r="G2" s="5" t="s">
        <v>68</v>
      </c>
      <c r="H2" s="6">
        <v>90.9</v>
      </c>
      <c r="J2" s="5" t="s">
        <v>68</v>
      </c>
      <c r="K2" s="6">
        <v>97.2</v>
      </c>
      <c r="M2" s="5" t="s">
        <v>68</v>
      </c>
      <c r="N2" s="6">
        <v>103.7</v>
      </c>
      <c r="P2" s="5" t="s">
        <v>68</v>
      </c>
      <c r="Q2" s="6">
        <v>105.4</v>
      </c>
      <c r="S2" s="5" t="s">
        <v>68</v>
      </c>
      <c r="T2" s="6">
        <v>110.5</v>
      </c>
      <c r="V2" s="5" t="s">
        <v>68</v>
      </c>
      <c r="W2" s="6">
        <v>114.4</v>
      </c>
    </row>
    <row r="3" spans="1:23" x14ac:dyDescent="0.2">
      <c r="A3" s="5" t="s">
        <v>40</v>
      </c>
      <c r="B3" s="7">
        <f>B2*200</f>
        <v>15900</v>
      </c>
      <c r="D3" s="5" t="s">
        <v>40</v>
      </c>
      <c r="E3" s="7">
        <f>E2*200</f>
        <v>17000</v>
      </c>
      <c r="G3" s="5" t="s">
        <v>40</v>
      </c>
      <c r="H3" s="7">
        <f>H2*200</f>
        <v>18180</v>
      </c>
      <c r="J3" s="5" t="s">
        <v>40</v>
      </c>
      <c r="K3" s="7">
        <f>K2*200</f>
        <v>19440</v>
      </c>
      <c r="M3" s="5" t="s">
        <v>40</v>
      </c>
      <c r="N3" s="7">
        <f>N2*200</f>
        <v>20740</v>
      </c>
      <c r="P3" s="5" t="s">
        <v>40</v>
      </c>
      <c r="Q3" s="7">
        <f>Q2*200</f>
        <v>21080</v>
      </c>
      <c r="S3" s="5" t="s">
        <v>40</v>
      </c>
      <c r="T3" s="7">
        <f>T2*200</f>
        <v>22100</v>
      </c>
      <c r="V3" s="5" t="s">
        <v>40</v>
      </c>
      <c r="W3" s="7">
        <f>W2*200</f>
        <v>22880</v>
      </c>
    </row>
    <row r="4" spans="1:23" x14ac:dyDescent="0.2">
      <c r="A4" s="5" t="s">
        <v>41</v>
      </c>
      <c r="B4" s="7">
        <f>B2*50</f>
        <v>3975</v>
      </c>
      <c r="D4" s="5" t="s">
        <v>41</v>
      </c>
      <c r="E4" s="7">
        <f>E2*50</f>
        <v>4250</v>
      </c>
      <c r="G4" s="5" t="s">
        <v>41</v>
      </c>
      <c r="H4" s="7">
        <f>H2*50</f>
        <v>4545</v>
      </c>
      <c r="J4" s="5" t="s">
        <v>41</v>
      </c>
      <c r="K4" s="7">
        <f>K2*50</f>
        <v>4860</v>
      </c>
      <c r="M4" s="5" t="s">
        <v>41</v>
      </c>
      <c r="N4" s="7">
        <f>N2*50</f>
        <v>5185</v>
      </c>
      <c r="P4" s="5" t="s">
        <v>41</v>
      </c>
      <c r="Q4" s="7">
        <f>Q2*50</f>
        <v>5270</v>
      </c>
      <c r="S4" s="5" t="s">
        <v>41</v>
      </c>
      <c r="T4" s="7">
        <f>T2*50</f>
        <v>5525</v>
      </c>
      <c r="V4" s="5" t="s">
        <v>41</v>
      </c>
      <c r="W4" s="7">
        <f>W2*50</f>
        <v>5720</v>
      </c>
    </row>
    <row r="5" spans="1:23" x14ac:dyDescent="0.2">
      <c r="A5" s="5" t="s">
        <v>59</v>
      </c>
      <c r="B5" s="7">
        <f>SUM(B3:B4)</f>
        <v>19875</v>
      </c>
      <c r="D5" s="5" t="s">
        <v>59</v>
      </c>
      <c r="E5" s="10">
        <f>SUM(E3:E4)</f>
        <v>21250</v>
      </c>
      <c r="G5" s="5" t="s">
        <v>59</v>
      </c>
      <c r="H5" s="10">
        <f>SUM(H3:H4)</f>
        <v>22725</v>
      </c>
      <c r="J5" s="5" t="s">
        <v>59</v>
      </c>
      <c r="K5" s="10">
        <f>SUM(K3:K4)</f>
        <v>24300</v>
      </c>
      <c r="M5" s="5" t="s">
        <v>59</v>
      </c>
      <c r="N5" s="10">
        <f>SUM(N3:N4)</f>
        <v>25925</v>
      </c>
      <c r="P5" s="5" t="s">
        <v>59</v>
      </c>
      <c r="Q5" s="10">
        <f>SUM(Q3:Q4)</f>
        <v>26350</v>
      </c>
      <c r="R5" s="19"/>
      <c r="S5" s="21" t="s">
        <v>59</v>
      </c>
      <c r="T5" s="10">
        <f>SUM(T3:T4)</f>
        <v>27625</v>
      </c>
      <c r="U5" s="19"/>
      <c r="V5" s="21" t="s">
        <v>59</v>
      </c>
      <c r="W5" s="10">
        <f>SUM(W3:W4)</f>
        <v>28600</v>
      </c>
    </row>
    <row r="6" spans="1:23" x14ac:dyDescent="0.2">
      <c r="A6" s="5"/>
      <c r="B6" s="8"/>
      <c r="D6" s="5"/>
      <c r="E6" s="8"/>
      <c r="G6" s="5"/>
      <c r="H6" s="8"/>
      <c r="J6" s="5"/>
      <c r="K6" s="8"/>
      <c r="M6" s="5"/>
      <c r="N6" s="8"/>
      <c r="P6" s="5"/>
      <c r="Q6" s="8"/>
      <c r="S6" s="5"/>
      <c r="T6" s="8"/>
      <c r="V6" s="5"/>
      <c r="W6" s="8"/>
    </row>
    <row r="7" spans="1:23" x14ac:dyDescent="0.2">
      <c r="A7" s="5" t="s">
        <v>42</v>
      </c>
      <c r="B7" s="8">
        <v>354000</v>
      </c>
      <c r="D7" s="5" t="s">
        <v>42</v>
      </c>
      <c r="E7" s="8">
        <v>344000</v>
      </c>
      <c r="G7" s="5" t="s">
        <v>42</v>
      </c>
      <c r="H7" s="8">
        <v>361000</v>
      </c>
      <c r="J7" s="5" t="s">
        <v>42</v>
      </c>
      <c r="K7" s="8">
        <v>373000</v>
      </c>
      <c r="M7" s="5" t="s">
        <v>42</v>
      </c>
      <c r="N7" s="8">
        <v>382000</v>
      </c>
      <c r="P7" s="5" t="s">
        <v>42</v>
      </c>
      <c r="Q7" s="8">
        <v>372000</v>
      </c>
      <c r="S7" s="5" t="s">
        <v>42</v>
      </c>
      <c r="T7" s="8">
        <v>383000</v>
      </c>
      <c r="V7" s="5" t="s">
        <v>42</v>
      </c>
      <c r="W7" s="8">
        <v>366000</v>
      </c>
    </row>
    <row r="8" spans="1:23" x14ac:dyDescent="0.2">
      <c r="A8" s="5"/>
      <c r="B8" s="8"/>
      <c r="D8" s="5"/>
      <c r="E8" s="8"/>
      <c r="G8" s="5"/>
      <c r="H8" s="8"/>
      <c r="J8" s="5"/>
      <c r="K8" s="8"/>
      <c r="M8" s="5"/>
      <c r="N8" s="8"/>
      <c r="P8" s="5"/>
      <c r="Q8" s="8"/>
      <c r="S8" s="5"/>
      <c r="T8" s="8"/>
      <c r="V8" s="5"/>
      <c r="W8" s="8"/>
    </row>
    <row r="9" spans="1:23" x14ac:dyDescent="0.2">
      <c r="A9" s="5" t="s">
        <v>43</v>
      </c>
      <c r="B9" s="8"/>
      <c r="D9" s="5" t="s">
        <v>43</v>
      </c>
      <c r="E9" s="8"/>
      <c r="G9" s="5" t="s">
        <v>43</v>
      </c>
      <c r="H9" s="8"/>
      <c r="J9" s="5" t="s">
        <v>43</v>
      </c>
      <c r="K9" s="8"/>
      <c r="M9" s="5" t="s">
        <v>43</v>
      </c>
      <c r="N9" s="8"/>
      <c r="P9" s="5" t="s">
        <v>43</v>
      </c>
      <c r="Q9" s="8"/>
      <c r="S9" s="5" t="s">
        <v>43</v>
      </c>
      <c r="T9" s="8"/>
      <c r="V9" s="5" t="s">
        <v>43</v>
      </c>
      <c r="W9" s="8"/>
    </row>
    <row r="10" spans="1:23" x14ac:dyDescent="0.2">
      <c r="A10" s="5" t="s">
        <v>45</v>
      </c>
      <c r="B10" s="8">
        <v>2</v>
      </c>
      <c r="D10" s="5" t="s">
        <v>45</v>
      </c>
      <c r="E10" s="8">
        <v>2</v>
      </c>
      <c r="G10" s="5" t="s">
        <v>45</v>
      </c>
      <c r="H10" s="8">
        <v>2</v>
      </c>
      <c r="J10" s="5" t="s">
        <v>45</v>
      </c>
      <c r="K10" s="8">
        <v>2</v>
      </c>
      <c r="M10" s="5" t="s">
        <v>45</v>
      </c>
      <c r="N10" s="8">
        <v>2</v>
      </c>
      <c r="P10" s="5" t="s">
        <v>45</v>
      </c>
      <c r="Q10" s="8">
        <v>2</v>
      </c>
      <c r="S10" s="5" t="s">
        <v>45</v>
      </c>
      <c r="T10" s="8">
        <v>2</v>
      </c>
      <c r="V10" s="5" t="s">
        <v>45</v>
      </c>
      <c r="W10" s="8">
        <v>2</v>
      </c>
    </row>
    <row r="11" spans="1:23" x14ac:dyDescent="0.2">
      <c r="A11" s="5" t="s">
        <v>44</v>
      </c>
      <c r="B11" s="8">
        <f>(6.29+0.23*B10)^0.5</f>
        <v>2.598076211353316</v>
      </c>
      <c r="D11" s="5" t="s">
        <v>44</v>
      </c>
      <c r="E11" s="8">
        <f>(6.29+0.23*E10)^0.5</f>
        <v>2.598076211353316</v>
      </c>
      <c r="G11" s="5" t="s">
        <v>44</v>
      </c>
      <c r="H11" s="8">
        <f>(6.29+0.23*H10)^0.5</f>
        <v>2.598076211353316</v>
      </c>
      <c r="J11" s="5" t="s">
        <v>44</v>
      </c>
      <c r="K11" s="8">
        <f>(6.29+0.23*K10)^0.5</f>
        <v>2.598076211353316</v>
      </c>
      <c r="M11" s="5" t="s">
        <v>44</v>
      </c>
      <c r="N11" s="8">
        <f>(6.29+0.23*N10)^0.5</f>
        <v>2.598076211353316</v>
      </c>
      <c r="P11" s="5" t="s">
        <v>44</v>
      </c>
      <c r="Q11" s="8">
        <f>(6.29+0.23*Q10)^0.5</f>
        <v>2.598076211353316</v>
      </c>
      <c r="S11" s="5" t="s">
        <v>44</v>
      </c>
      <c r="T11" s="8">
        <f>(6.29+0.23*T10)^0.5</f>
        <v>2.598076211353316</v>
      </c>
      <c r="V11" s="5" t="s">
        <v>44</v>
      </c>
      <c r="W11" s="8">
        <f>(6.29+0.23*W10)^0.5</f>
        <v>2.598076211353316</v>
      </c>
    </row>
    <row r="12" spans="1:23" x14ac:dyDescent="0.2">
      <c r="A12" s="5" t="s">
        <v>46</v>
      </c>
      <c r="B12" s="8">
        <f>ROUNDUP(B11*4.5,0)</f>
        <v>12</v>
      </c>
      <c r="D12" s="5" t="s">
        <v>46</v>
      </c>
      <c r="E12" s="8">
        <f>ROUNDUP(E11*4.5,0)</f>
        <v>12</v>
      </c>
      <c r="G12" s="5" t="s">
        <v>46</v>
      </c>
      <c r="H12" s="8">
        <f>ROUNDUP(H11*4.5,0)</f>
        <v>12</v>
      </c>
      <c r="J12" s="5" t="s">
        <v>46</v>
      </c>
      <c r="K12" s="8">
        <f>ROUNDUP(K11*4.5,0)</f>
        <v>12</v>
      </c>
      <c r="M12" s="5" t="s">
        <v>46</v>
      </c>
      <c r="N12" s="8">
        <f>ROUNDUP(N11*4.5,0)</f>
        <v>12</v>
      </c>
      <c r="P12" s="5" t="s">
        <v>46</v>
      </c>
      <c r="Q12" s="8">
        <f>ROUNDUP(Q11*4.5,0)</f>
        <v>12</v>
      </c>
      <c r="S12" s="5" t="s">
        <v>46</v>
      </c>
      <c r="T12" s="8">
        <f>ROUNDUP(T11*4.5,0)</f>
        <v>12</v>
      </c>
      <c r="V12" s="5" t="s">
        <v>46</v>
      </c>
      <c r="W12" s="8">
        <f>ROUNDUP(W11*4.5,0)</f>
        <v>12</v>
      </c>
    </row>
    <row r="13" spans="1:23" ht="16" x14ac:dyDescent="0.2">
      <c r="A13" s="5" t="s">
        <v>47</v>
      </c>
      <c r="B13" s="9">
        <f>B12*59580</f>
        <v>714960</v>
      </c>
      <c r="D13" s="5" t="s">
        <v>47</v>
      </c>
      <c r="E13" s="9">
        <f>E12*59580</f>
        <v>714960</v>
      </c>
      <c r="G13" s="5" t="s">
        <v>47</v>
      </c>
      <c r="H13" s="9">
        <f>H12*59580</f>
        <v>714960</v>
      </c>
      <c r="J13" s="5" t="s">
        <v>47</v>
      </c>
      <c r="K13" s="9">
        <f>K12*59580</f>
        <v>714960</v>
      </c>
      <c r="M13" s="5" t="s">
        <v>47</v>
      </c>
      <c r="N13" s="9">
        <f>N12*59580</f>
        <v>714960</v>
      </c>
      <c r="P13" s="5" t="s">
        <v>47</v>
      </c>
      <c r="Q13" s="9">
        <f>Q12*59580</f>
        <v>714960</v>
      </c>
      <c r="S13" s="5" t="s">
        <v>47</v>
      </c>
      <c r="T13" s="9">
        <f>T12*59580</f>
        <v>714960</v>
      </c>
      <c r="V13" s="5" t="s">
        <v>47</v>
      </c>
      <c r="W13" s="9">
        <f>W12*59580</f>
        <v>714960</v>
      </c>
    </row>
    <row r="14" spans="1:23" x14ac:dyDescent="0.2">
      <c r="A14" s="5"/>
      <c r="B14" s="8"/>
      <c r="D14" s="5"/>
      <c r="E14" s="8"/>
      <c r="G14" s="5"/>
      <c r="H14" s="8"/>
      <c r="J14" s="5"/>
      <c r="K14" s="8"/>
      <c r="M14" s="5"/>
      <c r="N14" s="8"/>
      <c r="P14" s="5"/>
      <c r="Q14" s="8"/>
      <c r="S14" s="5"/>
      <c r="T14" s="8"/>
      <c r="V14" s="5"/>
      <c r="W14" s="8"/>
    </row>
    <row r="15" spans="1:23" x14ac:dyDescent="0.2">
      <c r="A15" s="5" t="s">
        <v>48</v>
      </c>
      <c r="B15" s="8"/>
      <c r="D15" s="5" t="s">
        <v>48</v>
      </c>
      <c r="E15" s="8"/>
      <c r="G15" s="5" t="s">
        <v>48</v>
      </c>
      <c r="H15" s="8"/>
      <c r="J15" s="5" t="s">
        <v>48</v>
      </c>
      <c r="K15" s="8"/>
      <c r="M15" s="5" t="s">
        <v>48</v>
      </c>
      <c r="N15" s="8"/>
      <c r="P15" s="5" t="s">
        <v>48</v>
      </c>
      <c r="Q15" s="8"/>
      <c r="S15" s="5" t="s">
        <v>48</v>
      </c>
      <c r="T15" s="8"/>
      <c r="V15" s="5" t="s">
        <v>48</v>
      </c>
      <c r="W15" s="8"/>
    </row>
    <row r="16" spans="1:23" x14ac:dyDescent="0.2">
      <c r="A16" s="5" t="s">
        <v>49</v>
      </c>
      <c r="B16" s="8">
        <v>6.9914399999999999</v>
      </c>
      <c r="D16" s="5" t="s">
        <v>49</v>
      </c>
      <c r="E16" s="8">
        <v>3.7287699999999999</v>
      </c>
      <c r="G16" s="5" t="s">
        <v>49</v>
      </c>
      <c r="H16" s="8">
        <v>6.5253399999999999</v>
      </c>
      <c r="J16" s="5" t="s">
        <v>49</v>
      </c>
      <c r="K16" s="8">
        <v>6.5253399999999999</v>
      </c>
      <c r="M16" s="5" t="s">
        <v>49</v>
      </c>
      <c r="N16" s="8">
        <v>6.9914399999999999</v>
      </c>
      <c r="P16" s="5" t="s">
        <v>49</v>
      </c>
      <c r="Q16" s="8">
        <v>4.6609600000000002</v>
      </c>
      <c r="S16" s="5" t="s">
        <v>49</v>
      </c>
      <c r="T16" s="8">
        <v>6.0592499999999996</v>
      </c>
      <c r="V16" s="5" t="s">
        <v>49</v>
      </c>
      <c r="W16" s="8">
        <v>5.1279599999999999</v>
      </c>
    </row>
    <row r="17" spans="1:23" x14ac:dyDescent="0.2">
      <c r="A17" s="5" t="s">
        <v>50</v>
      </c>
      <c r="B17" s="8">
        <v>5.5530600000000003</v>
      </c>
      <c r="D17" s="5" t="s">
        <v>50</v>
      </c>
      <c r="E17" s="8">
        <v>2.2300200000000001</v>
      </c>
      <c r="G17" s="5" t="s">
        <v>50</v>
      </c>
      <c r="H17" s="8">
        <v>4.8965899999999998</v>
      </c>
      <c r="J17" s="5" t="s">
        <v>50</v>
      </c>
      <c r="K17" s="8">
        <v>4.7895799999999999</v>
      </c>
      <c r="M17" s="5" t="s">
        <v>50</v>
      </c>
      <c r="N17" s="8">
        <v>5.1442199999999998</v>
      </c>
      <c r="P17" s="5" t="s">
        <v>50</v>
      </c>
      <c r="Q17" s="8">
        <v>2.80043</v>
      </c>
      <c r="S17" s="5" t="s">
        <v>50</v>
      </c>
      <c r="T17" s="8">
        <v>4.0942600000000002</v>
      </c>
      <c r="V17" s="5" t="s">
        <v>50</v>
      </c>
      <c r="W17" s="8">
        <v>3.1083699999999999</v>
      </c>
    </row>
    <row r="18" spans="1:23" x14ac:dyDescent="0.2">
      <c r="A18" s="5" t="s">
        <v>51</v>
      </c>
      <c r="B18" s="7">
        <v>0.06</v>
      </c>
      <c r="D18" s="5" t="s">
        <v>51</v>
      </c>
      <c r="E18" s="7">
        <v>0.06</v>
      </c>
      <c r="G18" s="5" t="s">
        <v>51</v>
      </c>
      <c r="H18" s="7">
        <v>0.06</v>
      </c>
      <c r="J18" s="5" t="s">
        <v>51</v>
      </c>
      <c r="K18" s="7">
        <v>0.06</v>
      </c>
      <c r="M18" s="5" t="s">
        <v>51</v>
      </c>
      <c r="N18" s="7">
        <v>0.06</v>
      </c>
      <c r="P18" s="5" t="s">
        <v>51</v>
      </c>
      <c r="Q18" s="7">
        <v>0.06</v>
      </c>
      <c r="S18" s="5" t="s">
        <v>51</v>
      </c>
      <c r="T18" s="7">
        <v>0.06</v>
      </c>
      <c r="V18" s="5" t="s">
        <v>51</v>
      </c>
      <c r="W18" s="7">
        <v>0.06</v>
      </c>
    </row>
    <row r="19" spans="1:23" x14ac:dyDescent="0.2">
      <c r="A19" s="5" t="s">
        <v>53</v>
      </c>
      <c r="B19" s="10">
        <v>20</v>
      </c>
      <c r="D19" s="5" t="s">
        <v>53</v>
      </c>
      <c r="E19" s="10">
        <v>20</v>
      </c>
      <c r="G19" s="5" t="s">
        <v>53</v>
      </c>
      <c r="H19" s="10">
        <v>20</v>
      </c>
      <c r="J19" s="5" t="s">
        <v>53</v>
      </c>
      <c r="K19" s="10">
        <v>20</v>
      </c>
      <c r="M19" s="5" t="s">
        <v>53</v>
      </c>
      <c r="N19" s="10">
        <v>20</v>
      </c>
      <c r="P19" s="5" t="s">
        <v>53</v>
      </c>
      <c r="Q19" s="10">
        <v>20</v>
      </c>
      <c r="S19" s="5" t="s">
        <v>53</v>
      </c>
      <c r="T19" s="10">
        <v>20</v>
      </c>
      <c r="V19" s="5" t="s">
        <v>53</v>
      </c>
      <c r="W19" s="10">
        <v>20</v>
      </c>
    </row>
    <row r="20" spans="1:23" ht="16" x14ac:dyDescent="0.2">
      <c r="A20" s="5" t="s">
        <v>52</v>
      </c>
      <c r="B20" s="9">
        <f>(B16+B17)*B18*B19*365</f>
        <v>5494.491</v>
      </c>
      <c r="D20" s="5" t="s">
        <v>52</v>
      </c>
      <c r="E20" s="9">
        <f>(E16+E17)*E18*E19*365</f>
        <v>2609.9500199999998</v>
      </c>
      <c r="G20" s="5" t="s">
        <v>52</v>
      </c>
      <c r="H20" s="9">
        <f>(H16+H17)*H18*H19*365</f>
        <v>5002.805339999999</v>
      </c>
      <c r="J20" s="5" t="s">
        <v>52</v>
      </c>
      <c r="K20" s="9">
        <f>(K16+K17)*K18*K19*365</f>
        <v>4955.9349600000005</v>
      </c>
      <c r="M20" s="5" t="s">
        <v>52</v>
      </c>
      <c r="N20" s="9">
        <f>(N16+N17)*N18*N19*365</f>
        <v>5315.4190799999997</v>
      </c>
      <c r="P20" s="5" t="s">
        <v>52</v>
      </c>
      <c r="Q20" s="9">
        <f>(Q16+Q17)*Q18*Q19*365</f>
        <v>3268.0888199999995</v>
      </c>
      <c r="S20" s="5" t="s">
        <v>52</v>
      </c>
      <c r="T20" s="9">
        <f>(T16+T17)*T18*T19*365</f>
        <v>4447.2373800000005</v>
      </c>
      <c r="V20" s="5" t="s">
        <v>52</v>
      </c>
      <c r="W20" s="9">
        <f>(W16+W17)*W18*W19*365</f>
        <v>3607.5125399999988</v>
      </c>
    </row>
    <row r="21" spans="1:23" x14ac:dyDescent="0.2">
      <c r="A21" s="5"/>
      <c r="B21" s="8"/>
      <c r="D21" s="5"/>
      <c r="E21" s="8"/>
      <c r="G21" s="5"/>
      <c r="H21" s="8"/>
      <c r="J21" s="5"/>
      <c r="K21" s="8"/>
      <c r="M21" s="5"/>
      <c r="N21" s="8"/>
      <c r="P21" s="5"/>
      <c r="Q21" s="8"/>
      <c r="S21" s="5"/>
      <c r="T21" s="8"/>
      <c r="V21" s="5"/>
      <c r="W21" s="8"/>
    </row>
    <row r="22" spans="1:23" x14ac:dyDescent="0.2">
      <c r="A22" s="5" t="s">
        <v>54</v>
      </c>
      <c r="B22" s="8"/>
      <c r="D22" s="5" t="s">
        <v>54</v>
      </c>
      <c r="E22" s="8"/>
      <c r="G22" s="5" t="s">
        <v>54</v>
      </c>
      <c r="H22" s="8"/>
      <c r="J22" s="5" t="s">
        <v>54</v>
      </c>
      <c r="K22" s="8"/>
      <c r="M22" s="5" t="s">
        <v>54</v>
      </c>
      <c r="N22" s="8"/>
      <c r="P22" s="5" t="s">
        <v>54</v>
      </c>
      <c r="Q22" s="8"/>
      <c r="S22" s="5" t="s">
        <v>54</v>
      </c>
      <c r="T22" s="8"/>
      <c r="V22" s="5" t="s">
        <v>54</v>
      </c>
      <c r="W22" s="8"/>
    </row>
    <row r="23" spans="1:23" x14ac:dyDescent="0.2">
      <c r="A23" s="5" t="s">
        <v>55</v>
      </c>
      <c r="B23" s="8">
        <v>5400</v>
      </c>
      <c r="D23" s="5" t="s">
        <v>55</v>
      </c>
      <c r="E23" s="8">
        <v>2880</v>
      </c>
      <c r="G23" s="5" t="s">
        <v>55</v>
      </c>
      <c r="H23" s="8">
        <v>5040</v>
      </c>
      <c r="J23" s="5" t="s">
        <v>55</v>
      </c>
      <c r="K23" s="8">
        <v>5040</v>
      </c>
      <c r="M23" s="5" t="s">
        <v>55</v>
      </c>
      <c r="N23" s="8">
        <v>5400</v>
      </c>
      <c r="P23" s="5" t="s">
        <v>55</v>
      </c>
      <c r="Q23" s="8">
        <v>3600</v>
      </c>
      <c r="S23" s="5" t="s">
        <v>55</v>
      </c>
      <c r="T23" s="8">
        <v>4680</v>
      </c>
      <c r="V23" s="5" t="s">
        <v>55</v>
      </c>
      <c r="W23" s="8">
        <v>3960</v>
      </c>
    </row>
    <row r="24" spans="1:23" x14ac:dyDescent="0.2">
      <c r="A24" s="5" t="s">
        <v>53</v>
      </c>
      <c r="B24" s="10">
        <v>20</v>
      </c>
      <c r="D24" s="5" t="s">
        <v>53</v>
      </c>
      <c r="E24" s="10">
        <v>20</v>
      </c>
      <c r="G24" s="5" t="s">
        <v>53</v>
      </c>
      <c r="H24" s="10">
        <v>20</v>
      </c>
      <c r="J24" s="5" t="s">
        <v>53</v>
      </c>
      <c r="K24" s="10">
        <v>20</v>
      </c>
      <c r="M24" s="5" t="s">
        <v>53</v>
      </c>
      <c r="N24" s="10">
        <v>20</v>
      </c>
      <c r="P24" s="5" t="s">
        <v>53</v>
      </c>
      <c r="Q24" s="10">
        <v>20</v>
      </c>
      <c r="S24" s="5" t="s">
        <v>53</v>
      </c>
      <c r="T24" s="10">
        <v>20</v>
      </c>
      <c r="V24" s="5" t="s">
        <v>53</v>
      </c>
      <c r="W24" s="10">
        <v>20</v>
      </c>
    </row>
    <row r="25" spans="1:23" x14ac:dyDescent="0.2">
      <c r="A25" s="5" t="s">
        <v>56</v>
      </c>
      <c r="B25" s="8">
        <v>1</v>
      </c>
      <c r="D25" s="5" t="s">
        <v>56</v>
      </c>
      <c r="E25" s="8">
        <v>1</v>
      </c>
      <c r="G25" s="5" t="s">
        <v>56</v>
      </c>
      <c r="H25" s="8">
        <v>1</v>
      </c>
      <c r="J25" s="5" t="s">
        <v>56</v>
      </c>
      <c r="K25" s="8">
        <v>1</v>
      </c>
      <c r="M25" s="5" t="s">
        <v>56</v>
      </c>
      <c r="N25" s="8">
        <v>1</v>
      </c>
      <c r="P25" s="5" t="s">
        <v>56</v>
      </c>
      <c r="Q25" s="8">
        <v>1</v>
      </c>
      <c r="S25" s="5" t="s">
        <v>56</v>
      </c>
      <c r="T25" s="8">
        <v>1</v>
      </c>
      <c r="V25" s="5" t="s">
        <v>56</v>
      </c>
      <c r="W25" s="8">
        <v>1</v>
      </c>
    </row>
    <row r="26" spans="1:23" ht="16" x14ac:dyDescent="0.2">
      <c r="A26" s="5" t="s">
        <v>57</v>
      </c>
      <c r="B26" s="9">
        <f>B23*B24*365*B25/1000</f>
        <v>39420</v>
      </c>
      <c r="D26" s="5" t="s">
        <v>57</v>
      </c>
      <c r="E26" s="9">
        <f>E23*E24*365*E25/1000</f>
        <v>21024</v>
      </c>
      <c r="G26" s="5" t="s">
        <v>57</v>
      </c>
      <c r="H26" s="9">
        <f>H23*H24*365*H25/1000</f>
        <v>36792</v>
      </c>
      <c r="J26" s="5" t="s">
        <v>57</v>
      </c>
      <c r="K26" s="9">
        <f>K23*K24*365*K25/1000</f>
        <v>36792</v>
      </c>
      <c r="M26" s="5" t="s">
        <v>57</v>
      </c>
      <c r="N26" s="9">
        <f>N23*N24*365*N25/1000</f>
        <v>39420</v>
      </c>
      <c r="P26" s="5" t="s">
        <v>57</v>
      </c>
      <c r="Q26" s="9">
        <f>Q23*Q24*365*Q25/1000</f>
        <v>26280</v>
      </c>
      <c r="S26" s="5" t="s">
        <v>57</v>
      </c>
      <c r="T26" s="9">
        <f>T23*T24*365*T25/1000</f>
        <v>34164</v>
      </c>
      <c r="V26" s="5" t="s">
        <v>57</v>
      </c>
      <c r="W26" s="9">
        <f>W23*W24*365*W25/1000</f>
        <v>28908</v>
      </c>
    </row>
    <row r="27" spans="1:23" x14ac:dyDescent="0.2">
      <c r="A27" s="5"/>
      <c r="B27" s="8"/>
      <c r="D27" s="5"/>
      <c r="E27" s="8"/>
      <c r="G27" s="5"/>
      <c r="H27" s="8"/>
      <c r="J27" s="5"/>
      <c r="K27" s="8"/>
      <c r="M27" s="5"/>
      <c r="N27" s="8"/>
      <c r="P27" s="5"/>
      <c r="Q27" s="8"/>
      <c r="S27" s="5"/>
      <c r="T27" s="8"/>
      <c r="V27" s="5"/>
      <c r="W27" s="8"/>
    </row>
    <row r="28" spans="1:23" ht="16" thickBot="1" x14ac:dyDescent="0.25">
      <c r="A28" s="11" t="s">
        <v>58</v>
      </c>
      <c r="B28" s="12">
        <f>0.18*B7+2.73*B13+1.23*(B20+B26)</f>
        <v>2070805.62393</v>
      </c>
      <c r="D28" s="11" t="s">
        <v>58</v>
      </c>
      <c r="E28" s="12">
        <f>0.18*E7+2.73*E13+1.23*(E20+E26)</f>
        <v>2042830.5585246</v>
      </c>
      <c r="G28" s="11" t="s">
        <v>58</v>
      </c>
      <c r="H28" s="12">
        <f>0.18*H7+2.73*H13+1.23*(H20+H26)</f>
        <v>2068228.4105682001</v>
      </c>
      <c r="J28" s="11" t="s">
        <v>58</v>
      </c>
      <c r="K28" s="12">
        <f>0.18*K7+2.73*K13+1.23*(K20+K26)</f>
        <v>2070330.7600008</v>
      </c>
      <c r="M28" s="11" t="s">
        <v>58</v>
      </c>
      <c r="N28" s="12">
        <f>0.18*N7+2.73*N13+1.23*(N20+N26)</f>
        <v>2075625.3654684001</v>
      </c>
      <c r="P28" s="11" t="s">
        <v>58</v>
      </c>
      <c r="Q28" s="12">
        <f>0.18*Q7+2.73*Q13+1.23*(Q20+Q26)</f>
        <v>2055144.9492486001</v>
      </c>
      <c r="S28" s="11" t="s">
        <v>58</v>
      </c>
      <c r="T28" s="12">
        <f>0.18*T7+2.73*T13+1.23*(T20+T26)</f>
        <v>2068272.6219774</v>
      </c>
      <c r="V28" s="11" t="s">
        <v>58</v>
      </c>
      <c r="W28" s="12">
        <f>0.18*W7+2.73*W13+1.23*(W20+W26)</f>
        <v>2057714.8804242001</v>
      </c>
    </row>
    <row r="31" spans="1:23" x14ac:dyDescent="0.2">
      <c r="A31" t="s">
        <v>64</v>
      </c>
      <c r="B31" s="3">
        <v>1983467.0776853911</v>
      </c>
      <c r="D31" t="s">
        <v>64</v>
      </c>
      <c r="E31" s="3">
        <v>2179971.4551960039</v>
      </c>
      <c r="G31" t="s">
        <v>64</v>
      </c>
      <c r="H31" s="3">
        <v>2278305.0189627027</v>
      </c>
      <c r="J31" t="s">
        <v>64</v>
      </c>
      <c r="K31" s="3">
        <v>2441022.4917431492</v>
      </c>
      <c r="M31" t="s">
        <v>64</v>
      </c>
      <c r="N31" s="3">
        <v>2603739.9645235953</v>
      </c>
      <c r="P31" t="s">
        <v>64</v>
      </c>
      <c r="Q31" s="3">
        <v>2701292.3281809264</v>
      </c>
      <c r="S31" t="s">
        <v>64</v>
      </c>
      <c r="T31" s="3">
        <v>2796143.0414600261</v>
      </c>
      <c r="V31" t="s">
        <v>64</v>
      </c>
      <c r="W31" s="3">
        <v>2928719.2100206898</v>
      </c>
    </row>
    <row r="32" spans="1:23" x14ac:dyDescent="0.2">
      <c r="A32" t="s">
        <v>63</v>
      </c>
      <c r="B32" s="3">
        <v>1907906.4271068999</v>
      </c>
      <c r="D32" t="s">
        <v>63</v>
      </c>
      <c r="E32" s="3">
        <v>2096924.9235694895</v>
      </c>
      <c r="G32" t="s">
        <v>63</v>
      </c>
      <c r="H32" s="3">
        <v>2191512.4468117426</v>
      </c>
      <c r="J32" t="s">
        <v>63</v>
      </c>
      <c r="K32" s="3">
        <v>2348031.1587243625</v>
      </c>
      <c r="M32" t="s">
        <v>63</v>
      </c>
      <c r="N32" s="3">
        <v>2504549.8706369824</v>
      </c>
      <c r="P32" t="s">
        <v>63</v>
      </c>
      <c r="Q32" s="3">
        <v>2598385.953774034</v>
      </c>
      <c r="S32" t="s">
        <v>63</v>
      </c>
      <c r="T32" s="3">
        <v>2689623.3065472632</v>
      </c>
      <c r="V32" t="s">
        <v>63</v>
      </c>
      <c r="W32" s="3">
        <v>2817148.9544008537</v>
      </c>
    </row>
    <row r="33" spans="1:23" x14ac:dyDescent="0.2">
      <c r="A33" t="s">
        <v>62</v>
      </c>
      <c r="B33" s="3">
        <v>377803.25289245549</v>
      </c>
      <c r="D33" t="s">
        <v>62</v>
      </c>
      <c r="E33" s="3">
        <v>415232.65813257219</v>
      </c>
      <c r="G33" t="s">
        <v>62</v>
      </c>
      <c r="H33" s="3">
        <v>433962.86075480061</v>
      </c>
      <c r="J33" t="s">
        <v>62</v>
      </c>
      <c r="K33" s="3">
        <v>464956.66509393317</v>
      </c>
      <c r="M33" t="s">
        <v>62</v>
      </c>
      <c r="N33" s="3">
        <v>495950.46943306579</v>
      </c>
      <c r="P33" t="s">
        <v>62</v>
      </c>
      <c r="Q33" s="3">
        <v>514531.87203446217</v>
      </c>
      <c r="S33" t="s">
        <v>62</v>
      </c>
      <c r="T33" s="3">
        <v>532598.67456381454</v>
      </c>
      <c r="V33" t="s">
        <v>62</v>
      </c>
      <c r="W33" s="3">
        <v>557851.27809917904</v>
      </c>
    </row>
    <row r="34" spans="1:23" x14ac:dyDescent="0.2">
      <c r="A34" t="s">
        <v>61</v>
      </c>
      <c r="B34" s="3">
        <v>377803.25289245549</v>
      </c>
      <c r="D34" t="s">
        <v>61</v>
      </c>
      <c r="E34" s="3">
        <v>415232.65813257219</v>
      </c>
      <c r="G34" t="s">
        <v>61</v>
      </c>
      <c r="H34" s="3">
        <v>433962.86075480061</v>
      </c>
      <c r="J34" t="s">
        <v>61</v>
      </c>
      <c r="K34" s="3">
        <v>464956.66509393317</v>
      </c>
      <c r="M34" t="s">
        <v>61</v>
      </c>
      <c r="N34" s="3">
        <v>495950.46943306579</v>
      </c>
      <c r="P34" t="s">
        <v>61</v>
      </c>
      <c r="Q34" s="3">
        <v>514531.87203446217</v>
      </c>
      <c r="S34" t="s">
        <v>61</v>
      </c>
      <c r="T34" s="3">
        <v>532598.67456381454</v>
      </c>
      <c r="V34" t="s">
        <v>61</v>
      </c>
      <c r="W34" s="3">
        <v>557851.27809917904</v>
      </c>
    </row>
    <row r="35" spans="1:23" x14ac:dyDescent="0.2">
      <c r="A35" t="s">
        <v>60</v>
      </c>
      <c r="B35" s="3">
        <v>906727.80694189295</v>
      </c>
      <c r="D35" t="s">
        <v>60</v>
      </c>
      <c r="E35" s="3">
        <v>996558.37951817317</v>
      </c>
      <c r="G35" t="s">
        <v>60</v>
      </c>
      <c r="H35" s="3">
        <v>1041510.8658115213</v>
      </c>
      <c r="J35" t="s">
        <v>60</v>
      </c>
      <c r="K35" s="3">
        <v>1115895.9962254395</v>
      </c>
      <c r="M35" t="s">
        <v>60</v>
      </c>
      <c r="N35" s="3">
        <v>1190281.1266393578</v>
      </c>
      <c r="P35" t="s">
        <v>60</v>
      </c>
      <c r="Q35" s="3">
        <v>1234876.492882709</v>
      </c>
      <c r="S35" t="s">
        <v>60</v>
      </c>
      <c r="T35" s="3">
        <v>1278236.8189531546</v>
      </c>
      <c r="V35" t="s">
        <v>60</v>
      </c>
      <c r="W35" s="3">
        <v>1338843.0674380295</v>
      </c>
    </row>
    <row r="37" spans="1:23" x14ac:dyDescent="0.2">
      <c r="D37" t="s">
        <v>76</v>
      </c>
      <c r="E37">
        <v>1.594386015291452</v>
      </c>
      <c r="G37" t="s">
        <v>76</v>
      </c>
      <c r="H37">
        <v>1.5567091253789769</v>
      </c>
      <c r="J37" t="s">
        <v>76</v>
      </c>
      <c r="K37" s="19">
        <v>1.5861673580812767</v>
      </c>
      <c r="M37" t="s">
        <v>76</v>
      </c>
      <c r="N37">
        <v>1.5941133863330192</v>
      </c>
      <c r="P37" t="s">
        <v>76</v>
      </c>
      <c r="Q37">
        <v>1.6145702478762338</v>
      </c>
      <c r="S37" t="s">
        <v>76</v>
      </c>
      <c r="T37">
        <v>1.6022509336142368</v>
      </c>
      <c r="V37" t="s">
        <v>76</v>
      </c>
      <c r="W37">
        <v>1.5437358725965715</v>
      </c>
    </row>
    <row r="38" spans="1:23" x14ac:dyDescent="0.2">
      <c r="D38" t="s">
        <v>31</v>
      </c>
      <c r="E38">
        <v>4.7831578625094515</v>
      </c>
      <c r="G38" t="s">
        <v>31</v>
      </c>
      <c r="H38">
        <v>4.6701275577101082</v>
      </c>
      <c r="J38" t="s">
        <v>31</v>
      </c>
      <c r="K38" s="19">
        <v>4.7585021315463587</v>
      </c>
      <c r="M38" t="s">
        <v>31</v>
      </c>
      <c r="N38">
        <v>4.7823403153104973</v>
      </c>
      <c r="P38" t="s">
        <v>31</v>
      </c>
      <c r="Q38">
        <v>4.8437106623684336</v>
      </c>
      <c r="S38" t="s">
        <v>31</v>
      </c>
      <c r="T38">
        <v>4.8067527510596859</v>
      </c>
      <c r="V38" t="s">
        <v>31</v>
      </c>
      <c r="W38">
        <v>4.6312084601577865</v>
      </c>
    </row>
  </sheetData>
  <mergeCells count="8">
    <mergeCell ref="P1:Q1"/>
    <mergeCell ref="S1:T1"/>
    <mergeCell ref="V1:W1"/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Design Project(60K)</vt:lpstr>
      <vt:lpstr>Design Project(66K)</vt:lpstr>
      <vt:lpstr>Design Project(69K)</vt:lpstr>
      <vt:lpstr>Design Project(74K)</vt:lpstr>
      <vt:lpstr>Design Project(79K)</vt:lpstr>
      <vt:lpstr>Design Project(82K)</vt:lpstr>
      <vt:lpstr>Design Project(85K)</vt:lpstr>
      <vt:lpstr>Design Project(89K)</vt:lpstr>
      <vt:lpstr>COMd Calculations</vt:lpstr>
      <vt:lpstr>Volume of Beer Vessel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Chen</dc:creator>
  <cp:lastModifiedBy>Silvia Chen</cp:lastModifiedBy>
  <dcterms:created xsi:type="dcterms:W3CDTF">2020-03-12T23:35:07Z</dcterms:created>
  <dcterms:modified xsi:type="dcterms:W3CDTF">2020-03-19T03:00:10Z</dcterms:modified>
</cp:coreProperties>
</file>