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pei632\Documents\GCAM_industry\data\steel_decarb\cost_adjustments\"/>
    </mc:Choice>
  </mc:AlternateContent>
  <xr:revisionPtr revIDLastSave="0" documentId="13_ncr:1_{D9B7B71C-1B02-4C8F-9C84-0A0E14268965}" xr6:coauthVersionLast="47" xr6:coauthVersionMax="47" xr10:uidLastSave="{00000000-0000-0000-0000-000000000000}"/>
  <bookViews>
    <workbookView xWindow="4635" yWindow="-19215" windowWidth="25860" windowHeight="13845" activeTab="1" xr2:uid="{98E59DD4-7D5E-4CCA-9B80-E3CD6E7C6859}"/>
  </bookViews>
  <sheets>
    <sheet name="adders working" sheetId="4" r:id="rId1"/>
    <sheet name="adders final"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5" i="5" l="1"/>
  <c r="P4" i="5"/>
  <c r="P3" i="5"/>
  <c r="H46" i="4"/>
  <c r="H45" i="4"/>
  <c r="G46" i="4"/>
  <c r="G45" i="4"/>
  <c r="C17" i="5" l="1"/>
  <c r="C16" i="5"/>
  <c r="C50" i="4"/>
  <c r="B50" i="4"/>
  <c r="N5" i="5"/>
  <c r="N4" i="5"/>
  <c r="N3" i="5"/>
  <c r="O5" i="5"/>
  <c r="O4" i="5"/>
  <c r="O3" i="5"/>
  <c r="M5" i="5"/>
  <c r="M4" i="5"/>
  <c r="M3" i="5"/>
  <c r="K5" i="5"/>
  <c r="F5" i="5"/>
  <c r="F4" i="5"/>
  <c r="F3" i="5"/>
  <c r="I39" i="4"/>
  <c r="I38" i="4"/>
  <c r="I37" i="4"/>
  <c r="H39" i="4"/>
  <c r="H38" i="4"/>
  <c r="H37" i="4"/>
  <c r="G39" i="4"/>
  <c r="G38" i="4"/>
  <c r="G37" i="4"/>
  <c r="E39" i="4"/>
  <c r="E38" i="4"/>
  <c r="E37" i="4"/>
  <c r="D39" i="4"/>
  <c r="D38" i="4"/>
  <c r="D37" i="4"/>
  <c r="C39" i="4"/>
  <c r="C38" i="4"/>
  <c r="C37" i="4"/>
  <c r="B39" i="4"/>
  <c r="B38" i="4"/>
  <c r="B37" i="4"/>
  <c r="Q5" i="4"/>
  <c r="Q9" i="4"/>
  <c r="Q8" i="4"/>
  <c r="Q7" i="4"/>
  <c r="Q6" i="4"/>
  <c r="P9" i="4"/>
  <c r="P8" i="4"/>
  <c r="P7" i="4"/>
  <c r="P6" i="4"/>
  <c r="P5" i="4"/>
  <c r="N7" i="4"/>
  <c r="N5" i="4"/>
  <c r="O5" i="4" s="1"/>
  <c r="E9" i="4"/>
  <c r="N9" i="4" s="1"/>
  <c r="E8" i="4"/>
  <c r="N8" i="4" s="1"/>
  <c r="E7" i="4"/>
  <c r="E6" i="4"/>
  <c r="B15" i="4" s="1"/>
  <c r="E5" i="4"/>
  <c r="J4" i="5" l="1"/>
  <c r="B28" i="5"/>
  <c r="J3" i="5"/>
  <c r="J5" i="5"/>
  <c r="G3" i="5"/>
  <c r="K3" i="5"/>
  <c r="G4" i="5"/>
  <c r="K4" i="5"/>
  <c r="G5" i="5"/>
  <c r="N6" i="4"/>
  <c r="O6" i="4" s="1"/>
  <c r="O7" i="4"/>
  <c r="O9" i="4"/>
  <c r="O8" i="4"/>
  <c r="B27" i="5" l="1"/>
  <c r="B26" i="5"/>
  <c r="B25" i="5"/>
  <c r="B22" i="5"/>
  <c r="B29" i="5"/>
  <c r="B21" i="5"/>
  <c r="B24" i="5"/>
  <c r="B23" i="5"/>
</calcChain>
</file>

<file path=xl/sharedStrings.xml><?xml version="1.0" encoding="utf-8"?>
<sst xmlns="http://schemas.openxmlformats.org/spreadsheetml/2006/main" count="138" uniqueCount="95">
  <si>
    <t>Year</t>
  </si>
  <si>
    <t>Unit</t>
  </si>
  <si>
    <t>EAF-scrap</t>
  </si>
  <si>
    <t>BF-BOF</t>
  </si>
  <si>
    <t>European Parliament Carbon Free Steel</t>
  </si>
  <si>
    <t>https://www.europarl.europa.eu/RegData/etudes/STUD/2021/690008/EPRS_STU(2021)690008_EN.pdf</t>
  </si>
  <si>
    <t>DRI-EAF</t>
  </si>
  <si>
    <t>CAPEX</t>
  </si>
  <si>
    <t>Others</t>
  </si>
  <si>
    <t>Coal</t>
  </si>
  <si>
    <t>Natural Gas</t>
  </si>
  <si>
    <t>Electricity</t>
  </si>
  <si>
    <t>Electricity for H2</t>
  </si>
  <si>
    <t>Iron ore/scrap</t>
  </si>
  <si>
    <t>CO2</t>
  </si>
  <si>
    <t>Tech</t>
  </si>
  <si>
    <t>euro/ton</t>
  </si>
  <si>
    <t>Total</t>
  </si>
  <si>
    <t>BF-BOF + H2 + CCUS</t>
  </si>
  <si>
    <t>NG-EAF-DRI + H2 + CCUS</t>
  </si>
  <si>
    <t>NG-EAF-DRI + CCUS</t>
  </si>
  <si>
    <t>H2-EAF-DRI</t>
  </si>
  <si>
    <t>CAPEX fraction</t>
  </si>
  <si>
    <t>Adders</t>
  </si>
  <si>
    <t>1975$/ton</t>
  </si>
  <si>
    <t>BF-BOF + CCUS</t>
  </si>
  <si>
    <t>NG-EAF-DRI + H2</t>
  </si>
  <si>
    <t>CCUS</t>
  </si>
  <si>
    <t>NG-EAF-DRI + CCS</t>
  </si>
  <si>
    <t xml:space="preserve">Notes: </t>
  </si>
  <si>
    <t>BF-biomass and BF-BOF with hydrogen are assumed to have the same costs as standard BF-BOF</t>
  </si>
  <si>
    <t>Total CAPEX, others, raw materials</t>
  </si>
  <si>
    <t>BF-BOF + H2 + CCUS is assumed to have the same costs as BF-BOF + CCUS</t>
  </si>
  <si>
    <t>Total CAPEX, others, raw materials, CCUS</t>
  </si>
  <si>
    <t>Fuel</t>
  </si>
  <si>
    <t>Raw materials</t>
  </si>
  <si>
    <t>w/ fuel</t>
  </si>
  <si>
    <t>w/ raw materials</t>
  </si>
  <si>
    <t xml:space="preserve">IEA data </t>
  </si>
  <si>
    <t>2020 USD/t</t>
  </si>
  <si>
    <t>CAPEX, OPEX, raw materials</t>
  </si>
  <si>
    <t xml:space="preserve">IEA data notes: The fixed OPEX boundary used in this analysis includes maintenance, replacement parts and the associated engineering,
procurement and construction. Variable OPEX, such as the labour required for operating the plant, is not included. Energy costs are
accounted for separately. </t>
  </si>
  <si>
    <t>OPEX (excluding labor)</t>
  </si>
  <si>
    <t>w/ OPEX (excluding labor)</t>
  </si>
  <si>
    <t>CAPEX fraction of CAPEX, OPEX, raw materials (excluding labor)</t>
  </si>
  <si>
    <t>EAF-DRI-H2</t>
  </si>
  <si>
    <t>Sources:</t>
  </si>
  <si>
    <t>Conversion rates</t>
  </si>
  <si>
    <t>CAPEX fraction of OPEX (excl labor) and raw materials</t>
  </si>
  <si>
    <t>Assumptions:</t>
  </si>
  <si>
    <t>BF-biomass and BF-BOF with hydrogen are assumed to have the same non-energy costs as standard BF-BOF</t>
  </si>
  <si>
    <t>BF-BOF with hydrogen and CCS is assumed to have the same costs as BF-BOF with CCS</t>
  </si>
  <si>
    <t>Hydrogen-based DRI-EAF is assumed to have the same non-energy costs as EAF with DRI (see sources below)</t>
  </si>
  <si>
    <t>Vogl et al. 2018, https://www.sciencedirect.com/science/article/pii/S0959652618326301, assume that CAPEX for H2-DRI-EAF is the same as for standard DRI-EAF, with the exception of the electrolyzer cost, which is accounted for separately in GCAM</t>
  </si>
  <si>
    <t>BF-BOF with CCS</t>
  </si>
  <si>
    <t>DRI-EAF with CCS</t>
  </si>
  <si>
    <t>CAPEX (1975$/t)</t>
  </si>
  <si>
    <t>CAPEX min (1975$/t)</t>
  </si>
  <si>
    <t>CAPEX max (1975$/t)</t>
  </si>
  <si>
    <t>Labor costs are median values from the Transition Zero database, https://www.transitionzero.org/global-steel-cost-tracker</t>
  </si>
  <si>
    <t>CAPEX divided by OPEX and raw materials</t>
  </si>
  <si>
    <t>Final global tech costs</t>
  </si>
  <si>
    <t>BF-BOF CCS</t>
  </si>
  <si>
    <t>BF-BOF biomass</t>
  </si>
  <si>
    <t>BF-BOF hydrogen</t>
  </si>
  <si>
    <t>DRI-EAF CCS</t>
  </si>
  <si>
    <t>DRI-EAF hydrogen</t>
  </si>
  <si>
    <t>EAF scrap</t>
  </si>
  <si>
    <t>BF-BOF CCS hydrogen</t>
  </si>
  <si>
    <t>Total CAPEX, OPEX, raw materials (1975$/kg)</t>
  </si>
  <si>
    <t>CAPEX adders and standard tech total non-energy costs</t>
  </si>
  <si>
    <t>(using gcamdata value from 2019)</t>
  </si>
  <si>
    <t>CCS adder (1975$/kg)</t>
  </si>
  <si>
    <t>CAPEX, OPEX (excluding labor), fuel, raw materials: IEA Iron and Steel Technology Roadmap, Figure 1.3. CCS additional costs from Figure 2.11</t>
  </si>
  <si>
    <t>IEA data - raw (Figure 1.3)</t>
  </si>
  <si>
    <t>IEA data for CCS - raw (Figure 2.11)</t>
  </si>
  <si>
    <t>Gas DRI-EAF with CCUS</t>
  </si>
  <si>
    <t>Gas DRI-EAF</t>
  </si>
  <si>
    <t>IEA data for CCS adder</t>
  </si>
  <si>
    <t>CCS adder fraction of CAPEX and OPEX (exc labor)</t>
  </si>
  <si>
    <t>CCS adder (2020 USD/t)</t>
  </si>
  <si>
    <t>Thus, the only adder needed is for CCS. Here we assume that the CCS non-energy capital and OPEX costs per ton of steel are the same for BF and DRI</t>
  </si>
  <si>
    <t>Fuel cost</t>
  </si>
  <si>
    <t>Raw materials cost</t>
  </si>
  <si>
    <t>CAPEX (2019 USD/t)</t>
  </si>
  <si>
    <t>OPEX (excluding labor) (2019 USD/t)</t>
  </si>
  <si>
    <t>Fuel (2019 USD/t)</t>
  </si>
  <si>
    <t>Raw materials (2019 USD/t)</t>
  </si>
  <si>
    <t>CAPEX min (2019 USD/t)</t>
  </si>
  <si>
    <t>CAPEX max (2019 USD/t)</t>
  </si>
  <si>
    <t>Labor (2019 USD/t)</t>
  </si>
  <si>
    <t>Total CAPEX, OPEX, raw materials (2019 USD/t)</t>
  </si>
  <si>
    <t>CCS adder (2019 USD/t)</t>
  </si>
  <si>
    <t>2019 USD to 1975$</t>
  </si>
  <si>
    <t>Raw materials (1975$/kg)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</si>
</sst>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0" borderId="0" xfId="0" applyFill="1"/>
    <xf numFmtId="0" fontId="0" fillId="3" borderId="0" xfId="0" applyFill="1"/>
    <xf numFmtId="0" fontId="0" fillId="0" borderId="0" xfId="0" applyAlignment="1">
      <alignment wrapText="1"/>
    </xf>
    <xf numFmtId="0" fontId="0" fillId="2" borderId="0" xfId="0" applyFill="1" applyAlignment="1">
      <alignment wrapText="1"/>
    </xf>
    <xf numFmtId="0" fontId="0" fillId="0" borderId="0" xfId="0" applyAlignment="1"/>
    <xf numFmtId="0" fontId="0" fillId="0" borderId="0" xfId="0" applyFill="1" applyAlignment="1">
      <alignment wrapText="1"/>
    </xf>
    <xf numFmtId="0" fontId="1" fillId="0" borderId="0" xfId="0" applyFont="1"/>
    <xf numFmtId="0" fontId="1" fillId="0" borderId="0" xfId="0" applyFont="1" applyFill="1"/>
    <xf numFmtId="0" fontId="0" fillId="0" borderId="0" xfId="0" applyFont="1" applyAlignment="1">
      <alignment wrapText="1"/>
    </xf>
    <xf numFmtId="0" fontId="0" fillId="3" borderId="0" xfId="0" applyFill="1" applyAlignment="1">
      <alignment wrapText="1"/>
    </xf>
    <xf numFmtId="0" fontId="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3290-DF98-488C-AB0F-3E6878FA5597}">
  <dimension ref="A1:Q50"/>
  <sheetViews>
    <sheetView topLeftCell="A31" workbookViewId="0">
      <selection activeCell="E49" sqref="E49"/>
    </sheetView>
  </sheetViews>
  <sheetFormatPr defaultRowHeight="14.5" x14ac:dyDescent="0.35"/>
  <cols>
    <col min="1" max="1" width="22.1796875" customWidth="1"/>
    <col min="2" max="2" width="11.7265625" customWidth="1"/>
    <col min="3" max="3" width="11.453125" customWidth="1"/>
    <col min="6" max="6" width="11.36328125" customWidth="1"/>
    <col min="7" max="7" width="10.90625" customWidth="1"/>
    <col min="8" max="8" width="10.453125" customWidth="1"/>
    <col min="9" max="9" width="15.1796875" customWidth="1"/>
    <col min="10" max="10" width="13.54296875" customWidth="1"/>
    <col min="14" max="14" width="15.1796875" customWidth="1"/>
    <col min="15" max="15" width="13.90625" customWidth="1"/>
    <col min="16" max="16" width="13.81640625" customWidth="1"/>
    <col min="17" max="17" width="13.6328125" customWidth="1"/>
  </cols>
  <sheetData>
    <row r="1" spans="1:17" x14ac:dyDescent="0.35">
      <c r="A1" t="s">
        <v>4</v>
      </c>
    </row>
    <row r="2" spans="1:17" x14ac:dyDescent="0.35">
      <c r="A2" t="s">
        <v>5</v>
      </c>
    </row>
    <row r="4" spans="1:17" ht="58" x14ac:dyDescent="0.35">
      <c r="A4" s="1" t="s">
        <v>15</v>
      </c>
      <c r="B4" t="s">
        <v>0</v>
      </c>
      <c r="C4" t="s">
        <v>17</v>
      </c>
      <c r="D4" s="3" t="s">
        <v>7</v>
      </c>
      <c r="E4" s="3" t="s">
        <v>8</v>
      </c>
      <c r="F4" t="s">
        <v>9</v>
      </c>
      <c r="G4" t="s">
        <v>10</v>
      </c>
      <c r="H4" t="s">
        <v>11</v>
      </c>
      <c r="I4" t="s">
        <v>12</v>
      </c>
      <c r="J4" s="3" t="s">
        <v>13</v>
      </c>
      <c r="K4" s="3" t="s">
        <v>27</v>
      </c>
      <c r="L4" t="s">
        <v>14</v>
      </c>
      <c r="M4" t="s">
        <v>1</v>
      </c>
      <c r="N4" s="4" t="s">
        <v>31</v>
      </c>
      <c r="O4" s="1" t="s">
        <v>22</v>
      </c>
      <c r="P4" s="4" t="s">
        <v>33</v>
      </c>
      <c r="Q4" t="s">
        <v>22</v>
      </c>
    </row>
    <row r="5" spans="1:17" x14ac:dyDescent="0.35">
      <c r="A5" s="1" t="s">
        <v>3</v>
      </c>
      <c r="B5">
        <v>2020</v>
      </c>
      <c r="C5">
        <v>412</v>
      </c>
      <c r="D5" s="3">
        <v>46</v>
      </c>
      <c r="E5" s="3">
        <f>C5-D5-F5-G5-H5-I5-J5-K5-L5</f>
        <v>64</v>
      </c>
      <c r="F5">
        <v>19</v>
      </c>
      <c r="G5">
        <v>7</v>
      </c>
      <c r="H5">
        <v>14</v>
      </c>
      <c r="I5">
        <v>0</v>
      </c>
      <c r="J5" s="3">
        <v>207</v>
      </c>
      <c r="K5" s="3">
        <v>0</v>
      </c>
      <c r="L5">
        <v>55</v>
      </c>
      <c r="M5" t="s">
        <v>16</v>
      </c>
      <c r="N5">
        <f>D5+E5+J5</f>
        <v>317</v>
      </c>
      <c r="O5" s="1">
        <f>D5/N5</f>
        <v>0.14511041009463724</v>
      </c>
      <c r="P5">
        <f>D5+E5+J5+K5</f>
        <v>317</v>
      </c>
      <c r="Q5">
        <f>D5/P5</f>
        <v>0.14511041009463724</v>
      </c>
    </row>
    <row r="6" spans="1:17" x14ac:dyDescent="0.35">
      <c r="A6" s="1" t="s">
        <v>18</v>
      </c>
      <c r="B6">
        <v>2020</v>
      </c>
      <c r="C6">
        <v>549</v>
      </c>
      <c r="D6" s="3">
        <v>54</v>
      </c>
      <c r="E6" s="3">
        <f>C6-D6-F6-G6-H6-I6-J6-K6-L6</f>
        <v>67</v>
      </c>
      <c r="F6">
        <v>16</v>
      </c>
      <c r="G6">
        <v>7</v>
      </c>
      <c r="H6">
        <v>17</v>
      </c>
      <c r="I6">
        <v>69</v>
      </c>
      <c r="J6" s="3">
        <v>207</v>
      </c>
      <c r="K6" s="3">
        <v>97</v>
      </c>
      <c r="L6">
        <v>15</v>
      </c>
      <c r="M6" t="s">
        <v>16</v>
      </c>
      <c r="N6">
        <f>D6+E6+J6</f>
        <v>328</v>
      </c>
      <c r="O6" s="1">
        <f t="shared" ref="O6:O9" si="0">D6/N6</f>
        <v>0.16463414634146342</v>
      </c>
      <c r="P6">
        <f t="shared" ref="P6:P9" si="1">D6+E6+J6+K6</f>
        <v>425</v>
      </c>
      <c r="Q6">
        <f t="shared" ref="Q6:Q9" si="2">D6/P6</f>
        <v>0.12705882352941175</v>
      </c>
    </row>
    <row r="7" spans="1:17" x14ac:dyDescent="0.35">
      <c r="A7" s="1" t="s">
        <v>20</v>
      </c>
      <c r="B7">
        <v>2020</v>
      </c>
      <c r="C7">
        <v>575</v>
      </c>
      <c r="D7" s="3">
        <v>55</v>
      </c>
      <c r="E7" s="3">
        <f>C7-D7-F7-G7-H7-I7-J7-K7-L7</f>
        <v>50</v>
      </c>
      <c r="F7">
        <v>0</v>
      </c>
      <c r="G7">
        <v>92</v>
      </c>
      <c r="H7">
        <v>53</v>
      </c>
      <c r="I7">
        <v>0</v>
      </c>
      <c r="J7" s="3">
        <v>223</v>
      </c>
      <c r="K7" s="3">
        <v>99</v>
      </c>
      <c r="L7">
        <v>3</v>
      </c>
      <c r="M7" t="s">
        <v>16</v>
      </c>
      <c r="N7">
        <f>D7+E7+J7</f>
        <v>328</v>
      </c>
      <c r="O7" s="1">
        <f t="shared" si="0"/>
        <v>0.1676829268292683</v>
      </c>
      <c r="P7">
        <f t="shared" si="1"/>
        <v>427</v>
      </c>
      <c r="Q7">
        <f t="shared" si="2"/>
        <v>0.1288056206088993</v>
      </c>
    </row>
    <row r="8" spans="1:17" x14ac:dyDescent="0.35">
      <c r="A8" s="1" t="s">
        <v>19</v>
      </c>
      <c r="B8">
        <v>2020</v>
      </c>
      <c r="C8">
        <v>700</v>
      </c>
      <c r="D8" s="3">
        <v>59</v>
      </c>
      <c r="E8" s="3">
        <f>C8-D8-F8-G8-H8-I8-J8-K8-L8</f>
        <v>52</v>
      </c>
      <c r="F8">
        <v>0</v>
      </c>
      <c r="G8">
        <v>69</v>
      </c>
      <c r="H8">
        <v>52</v>
      </c>
      <c r="I8">
        <v>160</v>
      </c>
      <c r="J8" s="3">
        <v>223</v>
      </c>
      <c r="K8" s="3">
        <v>82</v>
      </c>
      <c r="L8">
        <v>3</v>
      </c>
      <c r="M8" t="s">
        <v>16</v>
      </c>
      <c r="N8">
        <f>D8+E8+J8</f>
        <v>334</v>
      </c>
      <c r="O8" s="1">
        <f t="shared" si="0"/>
        <v>0.17664670658682635</v>
      </c>
      <c r="P8">
        <f t="shared" si="1"/>
        <v>416</v>
      </c>
      <c r="Q8">
        <f t="shared" si="2"/>
        <v>0.14182692307692307</v>
      </c>
    </row>
    <row r="9" spans="1:17" x14ac:dyDescent="0.35">
      <c r="A9" s="1" t="s">
        <v>21</v>
      </c>
      <c r="B9">
        <v>2020</v>
      </c>
      <c r="C9">
        <v>659</v>
      </c>
      <c r="D9" s="3">
        <v>66</v>
      </c>
      <c r="E9" s="3">
        <f>C9-D9-F9-G9-H9-I9-J9-K9-L9</f>
        <v>54</v>
      </c>
      <c r="F9">
        <v>0</v>
      </c>
      <c r="G9">
        <v>7</v>
      </c>
      <c r="H9">
        <v>44</v>
      </c>
      <c r="I9">
        <v>249</v>
      </c>
      <c r="J9" s="3">
        <v>237</v>
      </c>
      <c r="K9" s="3">
        <v>0</v>
      </c>
      <c r="L9">
        <v>2</v>
      </c>
      <c r="M9" t="s">
        <v>16</v>
      </c>
      <c r="N9">
        <f>D9+E9+J9</f>
        <v>357</v>
      </c>
      <c r="O9" s="1">
        <f t="shared" si="0"/>
        <v>0.18487394957983194</v>
      </c>
      <c r="P9">
        <f t="shared" si="1"/>
        <v>357</v>
      </c>
      <c r="Q9">
        <f t="shared" si="2"/>
        <v>0.18487394957983194</v>
      </c>
    </row>
    <row r="13" spans="1:17" x14ac:dyDescent="0.35">
      <c r="A13" t="s">
        <v>23</v>
      </c>
    </row>
    <row r="14" spans="1:17" x14ac:dyDescent="0.35">
      <c r="A14" t="s">
        <v>15</v>
      </c>
      <c r="B14" t="s">
        <v>16</v>
      </c>
      <c r="C14" t="s">
        <v>24</v>
      </c>
    </row>
    <row r="15" spans="1:17" x14ac:dyDescent="0.35">
      <c r="A15" s="1" t="s">
        <v>25</v>
      </c>
      <c r="B15">
        <f>(D6-D5)+(E6-E5)+(J6-J5)+(K6-K5)</f>
        <v>108</v>
      </c>
    </row>
    <row r="16" spans="1:17" x14ac:dyDescent="0.35">
      <c r="A16" s="1" t="s">
        <v>26</v>
      </c>
    </row>
    <row r="17" spans="1:8" x14ac:dyDescent="0.35">
      <c r="A17" s="1" t="s">
        <v>28</v>
      </c>
    </row>
    <row r="20" spans="1:8" x14ac:dyDescent="0.35">
      <c r="A20" s="2" t="s">
        <v>29</v>
      </c>
    </row>
    <row r="21" spans="1:8" x14ac:dyDescent="0.35">
      <c r="A21" s="2" t="s">
        <v>30</v>
      </c>
    </row>
    <row r="22" spans="1:8" x14ac:dyDescent="0.35">
      <c r="A22" s="2" t="s">
        <v>32</v>
      </c>
    </row>
    <row r="23" spans="1:8" x14ac:dyDescent="0.35">
      <c r="A23" s="2" t="s">
        <v>45</v>
      </c>
    </row>
    <row r="29" spans="1:8" x14ac:dyDescent="0.35">
      <c r="A29" t="s">
        <v>74</v>
      </c>
    </row>
    <row r="30" spans="1:8" ht="43.5" x14ac:dyDescent="0.35">
      <c r="A30" t="s">
        <v>15</v>
      </c>
      <c r="B30" t="s">
        <v>7</v>
      </c>
      <c r="C30" s="4" t="s">
        <v>43</v>
      </c>
      <c r="D30" t="s">
        <v>36</v>
      </c>
      <c r="E30" s="4" t="s">
        <v>37</v>
      </c>
      <c r="F30" t="s">
        <v>1</v>
      </c>
      <c r="H30" s="6" t="s">
        <v>41</v>
      </c>
    </row>
    <row r="31" spans="1:8" x14ac:dyDescent="0.35">
      <c r="A31" t="s">
        <v>3</v>
      </c>
      <c r="B31">
        <v>64</v>
      </c>
      <c r="C31">
        <v>119</v>
      </c>
      <c r="D31">
        <v>210</v>
      </c>
      <c r="E31">
        <v>392</v>
      </c>
      <c r="F31" t="s">
        <v>39</v>
      </c>
      <c r="H31" s="4"/>
    </row>
    <row r="32" spans="1:8" x14ac:dyDescent="0.35">
      <c r="A32" t="s">
        <v>6</v>
      </c>
      <c r="B32">
        <v>84</v>
      </c>
      <c r="C32">
        <v>163</v>
      </c>
      <c r="D32">
        <v>247</v>
      </c>
      <c r="E32">
        <v>449</v>
      </c>
      <c r="F32" t="s">
        <v>39</v>
      </c>
      <c r="H32" s="4"/>
    </row>
    <row r="33" spans="1:9" x14ac:dyDescent="0.35">
      <c r="A33" t="s">
        <v>2</v>
      </c>
      <c r="B33">
        <v>44</v>
      </c>
      <c r="C33">
        <v>86</v>
      </c>
      <c r="D33">
        <v>119</v>
      </c>
      <c r="E33">
        <v>418</v>
      </c>
      <c r="F33" t="s">
        <v>39</v>
      </c>
      <c r="H33" s="4"/>
    </row>
    <row r="35" spans="1:9" x14ac:dyDescent="0.35">
      <c r="A35" t="s">
        <v>38</v>
      </c>
      <c r="E35" s="4"/>
    </row>
    <row r="36" spans="1:9" ht="58" x14ac:dyDescent="0.35">
      <c r="A36" s="1" t="s">
        <v>15</v>
      </c>
      <c r="B36" t="s">
        <v>7</v>
      </c>
      <c r="C36" s="4" t="s">
        <v>42</v>
      </c>
      <c r="D36" t="s">
        <v>34</v>
      </c>
      <c r="E36" s="4" t="s">
        <v>35</v>
      </c>
      <c r="F36" t="s">
        <v>1</v>
      </c>
      <c r="G36" t="s">
        <v>17</v>
      </c>
      <c r="H36" s="4" t="s">
        <v>40</v>
      </c>
      <c r="I36" s="5" t="s">
        <v>44</v>
      </c>
    </row>
    <row r="37" spans="1:9" x14ac:dyDescent="0.35">
      <c r="A37" s="1" t="s">
        <v>3</v>
      </c>
      <c r="B37">
        <f>B31</f>
        <v>64</v>
      </c>
      <c r="C37">
        <f>C31-B37</f>
        <v>55</v>
      </c>
      <c r="D37">
        <f t="shared" ref="D37:E39" si="3">D31-C31</f>
        <v>91</v>
      </c>
      <c r="E37">
        <f t="shared" si="3"/>
        <v>182</v>
      </c>
      <c r="F37" t="s">
        <v>39</v>
      </c>
      <c r="G37">
        <f>SUM(B37:E37)</f>
        <v>392</v>
      </c>
      <c r="H37">
        <f>B37+C37+E37</f>
        <v>301</v>
      </c>
      <c r="I37" s="1">
        <f>B37/H37</f>
        <v>0.21262458471760798</v>
      </c>
    </row>
    <row r="38" spans="1:9" x14ac:dyDescent="0.35">
      <c r="A38" s="1" t="s">
        <v>6</v>
      </c>
      <c r="B38">
        <f>B32</f>
        <v>84</v>
      </c>
      <c r="C38">
        <f>C32-B38</f>
        <v>79</v>
      </c>
      <c r="D38">
        <f t="shared" si="3"/>
        <v>84</v>
      </c>
      <c r="E38">
        <f t="shared" si="3"/>
        <v>202</v>
      </c>
      <c r="F38" t="s">
        <v>39</v>
      </c>
      <c r="G38">
        <f>SUM(B38:E38)</f>
        <v>449</v>
      </c>
      <c r="H38">
        <f>B38+C38+E38</f>
        <v>365</v>
      </c>
      <c r="I38" s="1">
        <f>B38/H38</f>
        <v>0.23013698630136986</v>
      </c>
    </row>
    <row r="39" spans="1:9" x14ac:dyDescent="0.35">
      <c r="A39" s="1" t="s">
        <v>2</v>
      </c>
      <c r="B39">
        <f>B33</f>
        <v>44</v>
      </c>
      <c r="C39">
        <f>C33-B39</f>
        <v>42</v>
      </c>
      <c r="D39">
        <f t="shared" si="3"/>
        <v>33</v>
      </c>
      <c r="E39">
        <f t="shared" si="3"/>
        <v>299</v>
      </c>
      <c r="F39" t="s">
        <v>39</v>
      </c>
      <c r="G39">
        <f>SUM(B39:E39)</f>
        <v>418</v>
      </c>
      <c r="H39">
        <f>B39+C39+E39</f>
        <v>385</v>
      </c>
      <c r="I39" s="1">
        <f>B39/H39</f>
        <v>0.11428571428571428</v>
      </c>
    </row>
    <row r="43" spans="1:9" x14ac:dyDescent="0.35">
      <c r="A43" t="s">
        <v>75</v>
      </c>
    </row>
    <row r="44" spans="1:9" ht="43.5" x14ac:dyDescent="0.35">
      <c r="A44" t="s">
        <v>15</v>
      </c>
      <c r="B44" t="s">
        <v>7</v>
      </c>
      <c r="C44" s="4" t="s">
        <v>43</v>
      </c>
      <c r="D44" t="s">
        <v>36</v>
      </c>
      <c r="E44" s="4" t="s">
        <v>37</v>
      </c>
      <c r="F44" t="s">
        <v>1</v>
      </c>
      <c r="G44" s="4" t="s">
        <v>82</v>
      </c>
      <c r="H44" t="s">
        <v>83</v>
      </c>
    </row>
    <row r="45" spans="1:9" x14ac:dyDescent="0.35">
      <c r="A45" t="s">
        <v>77</v>
      </c>
      <c r="B45">
        <v>87</v>
      </c>
      <c r="C45">
        <v>166</v>
      </c>
      <c r="D45">
        <v>215</v>
      </c>
      <c r="E45">
        <v>408</v>
      </c>
      <c r="F45" t="s">
        <v>39</v>
      </c>
      <c r="G45">
        <f>D45-C45</f>
        <v>49</v>
      </c>
      <c r="H45">
        <f>E45-D45</f>
        <v>193</v>
      </c>
    </row>
    <row r="46" spans="1:9" x14ac:dyDescent="0.35">
      <c r="A46" t="s">
        <v>76</v>
      </c>
      <c r="B46">
        <v>94</v>
      </c>
      <c r="C46">
        <v>192</v>
      </c>
      <c r="D46">
        <v>242</v>
      </c>
      <c r="E46">
        <v>434</v>
      </c>
      <c r="F46" t="s">
        <v>39</v>
      </c>
      <c r="G46">
        <f>D46-C46</f>
        <v>50</v>
      </c>
      <c r="H46">
        <f>E46-D46</f>
        <v>192</v>
      </c>
    </row>
    <row r="48" spans="1:9" x14ac:dyDescent="0.35">
      <c r="A48" t="s">
        <v>78</v>
      </c>
    </row>
    <row r="49" spans="1:3" ht="72.5" x14ac:dyDescent="0.35">
      <c r="A49" t="s">
        <v>15</v>
      </c>
      <c r="B49" s="4" t="s">
        <v>80</v>
      </c>
      <c r="C49" s="4" t="s">
        <v>79</v>
      </c>
    </row>
    <row r="50" spans="1:3" x14ac:dyDescent="0.35">
      <c r="A50" t="s">
        <v>6</v>
      </c>
      <c r="B50">
        <f>C46-C45</f>
        <v>26</v>
      </c>
      <c r="C50">
        <f>B50/C45</f>
        <v>0.15662650602409639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29767-F000-4405-AFC8-9347A0F7AF19}">
  <dimension ref="A1:P41"/>
  <sheetViews>
    <sheetView tabSelected="1" workbookViewId="0">
      <selection activeCell="P4" sqref="P4"/>
    </sheetView>
  </sheetViews>
  <sheetFormatPr defaultRowHeight="14.5" x14ac:dyDescent="0.35"/>
  <cols>
    <col min="1" max="1" width="20.54296875" customWidth="1"/>
    <col min="2" max="2" width="9.81640625" customWidth="1"/>
    <col min="3" max="3" width="13.36328125" customWidth="1"/>
    <col min="4" max="4" width="12" customWidth="1"/>
    <col min="5" max="5" width="12.1796875" customWidth="1"/>
    <col min="6" max="6" width="14.08984375" customWidth="1"/>
    <col min="7" max="7" width="9.7265625" customWidth="1"/>
    <col min="13" max="14" width="13.1796875" customWidth="1"/>
    <col min="15" max="15" width="12.81640625" customWidth="1"/>
  </cols>
  <sheetData>
    <row r="1" spans="1:16" x14ac:dyDescent="0.35">
      <c r="A1" s="8" t="s">
        <v>70</v>
      </c>
    </row>
    <row r="2" spans="1:16" ht="58" x14ac:dyDescent="0.35">
      <c r="A2" s="12" t="s">
        <v>15</v>
      </c>
      <c r="B2" s="10" t="s">
        <v>84</v>
      </c>
      <c r="C2" s="10" t="s">
        <v>85</v>
      </c>
      <c r="D2" s="10" t="s">
        <v>86</v>
      </c>
      <c r="E2" s="10" t="s">
        <v>87</v>
      </c>
      <c r="F2" s="10" t="s">
        <v>48</v>
      </c>
      <c r="G2" s="4" t="s">
        <v>56</v>
      </c>
      <c r="H2" s="4" t="s">
        <v>88</v>
      </c>
      <c r="I2" s="4" t="s">
        <v>89</v>
      </c>
      <c r="J2" s="4" t="s">
        <v>57</v>
      </c>
      <c r="K2" s="4" t="s">
        <v>58</v>
      </c>
      <c r="L2" s="4" t="s">
        <v>90</v>
      </c>
      <c r="M2" s="7" t="s">
        <v>91</v>
      </c>
      <c r="N2" s="11" t="s">
        <v>69</v>
      </c>
      <c r="O2" s="11" t="s">
        <v>60</v>
      </c>
      <c r="P2" s="7" t="s">
        <v>94</v>
      </c>
    </row>
    <row r="3" spans="1:16" x14ac:dyDescent="0.35">
      <c r="A3" s="3" t="s">
        <v>3</v>
      </c>
      <c r="B3">
        <v>64</v>
      </c>
      <c r="C3">
        <v>55</v>
      </c>
      <c r="D3">
        <v>91</v>
      </c>
      <c r="E3">
        <v>182</v>
      </c>
      <c r="F3" s="4">
        <f>B3/(C3+E3)</f>
        <v>0.27004219409282698</v>
      </c>
      <c r="G3">
        <f>B3*B$32</f>
        <v>16.96</v>
      </c>
      <c r="H3">
        <v>52</v>
      </c>
      <c r="I3">
        <v>94</v>
      </c>
      <c r="J3">
        <f>H3*B$32</f>
        <v>13.780000000000001</v>
      </c>
      <c r="K3">
        <f>I3*B$32</f>
        <v>24.91</v>
      </c>
      <c r="L3">
        <v>13</v>
      </c>
      <c r="M3" s="2">
        <f>B3+C3+E3+L3</f>
        <v>314</v>
      </c>
      <c r="N3" s="3">
        <f>M3*B$32/1000</f>
        <v>8.3210000000000006E-2</v>
      </c>
      <c r="O3" s="3">
        <f>B3/(C3+E3+L3)</f>
        <v>0.25600000000000001</v>
      </c>
      <c r="P3">
        <f>E3*B$32/1000</f>
        <v>4.8230000000000002E-2</v>
      </c>
    </row>
    <row r="4" spans="1:16" x14ac:dyDescent="0.35">
      <c r="A4" s="3" t="s">
        <v>6</v>
      </c>
      <c r="B4">
        <v>84</v>
      </c>
      <c r="C4">
        <v>79</v>
      </c>
      <c r="D4">
        <v>84</v>
      </c>
      <c r="E4">
        <v>202</v>
      </c>
      <c r="F4" s="4">
        <f>B4/(C4+E4)</f>
        <v>0.29893238434163699</v>
      </c>
      <c r="G4">
        <f>B4*B$32</f>
        <v>22.26</v>
      </c>
      <c r="H4">
        <v>53</v>
      </c>
      <c r="I4">
        <v>136</v>
      </c>
      <c r="J4">
        <f>H4*B$32</f>
        <v>14.045</v>
      </c>
      <c r="K4">
        <f>I4*B$32</f>
        <v>36.04</v>
      </c>
      <c r="L4">
        <v>4</v>
      </c>
      <c r="M4" s="2">
        <f>B4+C4+E4+L4</f>
        <v>369</v>
      </c>
      <c r="N4" s="3">
        <f>M4*B$32/1000</f>
        <v>9.7785000000000011E-2</v>
      </c>
      <c r="O4" s="3">
        <f>B4/(C4+E4+L4)</f>
        <v>0.29473684210526313</v>
      </c>
      <c r="P4">
        <f t="shared" ref="P4:P5" si="0">E4*B$32/1000</f>
        <v>5.3530000000000001E-2</v>
      </c>
    </row>
    <row r="5" spans="1:16" x14ac:dyDescent="0.35">
      <c r="A5" s="3" t="s">
        <v>2</v>
      </c>
      <c r="B5">
        <v>44</v>
      </c>
      <c r="C5">
        <v>42</v>
      </c>
      <c r="D5">
        <v>33</v>
      </c>
      <c r="E5">
        <v>299</v>
      </c>
      <c r="F5" s="4">
        <f>B5/(C5+E5)</f>
        <v>0.12903225806451613</v>
      </c>
      <c r="G5">
        <f>B5*B$32</f>
        <v>11.66</v>
      </c>
      <c r="H5">
        <v>34</v>
      </c>
      <c r="I5">
        <v>58</v>
      </c>
      <c r="J5">
        <f>H5*B$32</f>
        <v>9.01</v>
      </c>
      <c r="K5">
        <f>I5*B$32</f>
        <v>15.370000000000001</v>
      </c>
      <c r="L5">
        <v>4</v>
      </c>
      <c r="M5" s="2">
        <f>B5+C5+E5+L5</f>
        <v>389</v>
      </c>
      <c r="N5" s="3">
        <f>M5*B$32/1000</f>
        <v>0.10308500000000001</v>
      </c>
      <c r="O5" s="3">
        <f>B5/(C5+E5+L5)</f>
        <v>0.12753623188405797</v>
      </c>
      <c r="P5">
        <f t="shared" si="0"/>
        <v>7.9235E-2</v>
      </c>
    </row>
    <row r="8" spans="1:16" x14ac:dyDescent="0.35">
      <c r="A8" s="9" t="s">
        <v>23</v>
      </c>
      <c r="B8" s="2"/>
      <c r="C8" s="7"/>
      <c r="D8" s="2"/>
      <c r="E8" s="7"/>
      <c r="F8" s="7"/>
      <c r="G8" s="7"/>
    </row>
    <row r="9" spans="1:16" x14ac:dyDescent="0.35">
      <c r="A9" s="2" t="s">
        <v>49</v>
      </c>
      <c r="B9" s="2"/>
      <c r="C9" s="2"/>
      <c r="D9" s="2"/>
      <c r="E9" s="2"/>
      <c r="F9" s="2"/>
      <c r="G9" s="2"/>
    </row>
    <row r="10" spans="1:16" x14ac:dyDescent="0.35">
      <c r="A10" s="2" t="s">
        <v>50</v>
      </c>
      <c r="B10" s="2"/>
      <c r="C10" s="2"/>
      <c r="D10" s="2"/>
      <c r="E10" s="2"/>
      <c r="F10" s="2"/>
      <c r="G10" s="2"/>
    </row>
    <row r="11" spans="1:16" x14ac:dyDescent="0.35">
      <c r="A11" s="2" t="s">
        <v>51</v>
      </c>
      <c r="B11" s="2"/>
      <c r="C11" s="2"/>
      <c r="D11" s="2"/>
      <c r="E11" s="2"/>
      <c r="F11" s="2"/>
      <c r="G11" s="2"/>
    </row>
    <row r="12" spans="1:16" x14ac:dyDescent="0.35">
      <c r="A12" s="2" t="s">
        <v>52</v>
      </c>
    </row>
    <row r="13" spans="1:16" x14ac:dyDescent="0.35">
      <c r="A13" s="2" t="s">
        <v>81</v>
      </c>
    </row>
    <row r="14" spans="1:16" x14ac:dyDescent="0.35">
      <c r="A14" s="2"/>
    </row>
    <row r="15" spans="1:16" ht="43.5" x14ac:dyDescent="0.35">
      <c r="A15" s="3" t="s">
        <v>15</v>
      </c>
      <c r="B15" s="4" t="s">
        <v>92</v>
      </c>
      <c r="C15" s="11" t="s">
        <v>72</v>
      </c>
    </row>
    <row r="16" spans="1:16" x14ac:dyDescent="0.35">
      <c r="A16" s="3" t="s">
        <v>54</v>
      </c>
      <c r="B16">
        <v>26</v>
      </c>
      <c r="C16" s="3">
        <f>B16*B$32/1000</f>
        <v>6.8900000000000003E-3</v>
      </c>
    </row>
    <row r="17" spans="1:3" x14ac:dyDescent="0.35">
      <c r="A17" s="3" t="s">
        <v>55</v>
      </c>
      <c r="B17">
        <v>26</v>
      </c>
      <c r="C17" s="3">
        <f>B17*B$32/1000</f>
        <v>6.8900000000000003E-3</v>
      </c>
    </row>
    <row r="19" spans="1:3" x14ac:dyDescent="0.35">
      <c r="A19" s="9" t="s">
        <v>61</v>
      </c>
    </row>
    <row r="20" spans="1:3" ht="72.5" x14ac:dyDescent="0.35">
      <c r="A20" s="3" t="s">
        <v>15</v>
      </c>
      <c r="B20" s="11" t="s">
        <v>69</v>
      </c>
      <c r="C20" s="7"/>
    </row>
    <row r="21" spans="1:3" x14ac:dyDescent="0.35">
      <c r="A21" s="3" t="s">
        <v>3</v>
      </c>
      <c r="B21" s="3">
        <f>N3</f>
        <v>8.3210000000000006E-2</v>
      </c>
      <c r="C21" s="2"/>
    </row>
    <row r="22" spans="1:3" x14ac:dyDescent="0.35">
      <c r="A22" s="3" t="s">
        <v>62</v>
      </c>
      <c r="B22" s="3">
        <f>N3+C16</f>
        <v>9.0100000000000013E-2</v>
      </c>
      <c r="C22" s="2"/>
    </row>
    <row r="23" spans="1:3" x14ac:dyDescent="0.35">
      <c r="A23" s="3" t="s">
        <v>63</v>
      </c>
      <c r="B23" s="3">
        <f>N3</f>
        <v>8.3210000000000006E-2</v>
      </c>
      <c r="C23" s="2"/>
    </row>
    <row r="24" spans="1:3" x14ac:dyDescent="0.35">
      <c r="A24" s="3" t="s">
        <v>64</v>
      </c>
      <c r="B24" s="3">
        <f>N3</f>
        <v>8.3210000000000006E-2</v>
      </c>
      <c r="C24" s="2"/>
    </row>
    <row r="25" spans="1:3" x14ac:dyDescent="0.35">
      <c r="A25" s="3" t="s">
        <v>6</v>
      </c>
      <c r="B25" s="3">
        <f>N4</f>
        <v>9.7785000000000011E-2</v>
      </c>
      <c r="C25" s="2"/>
    </row>
    <row r="26" spans="1:3" x14ac:dyDescent="0.35">
      <c r="A26" s="3" t="s">
        <v>65</v>
      </c>
      <c r="B26" s="3">
        <f>N4+C17</f>
        <v>0.10467500000000002</v>
      </c>
      <c r="C26" s="2"/>
    </row>
    <row r="27" spans="1:3" x14ac:dyDescent="0.35">
      <c r="A27" s="3" t="s">
        <v>66</v>
      </c>
      <c r="B27" s="3">
        <f>N4</f>
        <v>9.7785000000000011E-2</v>
      </c>
      <c r="C27" s="2"/>
    </row>
    <row r="28" spans="1:3" x14ac:dyDescent="0.35">
      <c r="A28" s="3" t="s">
        <v>67</v>
      </c>
      <c r="B28" s="3">
        <f>N5</f>
        <v>0.10308500000000001</v>
      </c>
      <c r="C28" s="2"/>
    </row>
    <row r="29" spans="1:3" x14ac:dyDescent="0.35">
      <c r="A29" s="3" t="s">
        <v>68</v>
      </c>
      <c r="B29" s="3">
        <f>N3+C16</f>
        <v>9.0100000000000013E-2</v>
      </c>
      <c r="C29" s="2"/>
    </row>
    <row r="31" spans="1:3" x14ac:dyDescent="0.35">
      <c r="A31" t="s">
        <v>47</v>
      </c>
    </row>
    <row r="32" spans="1:3" x14ac:dyDescent="0.35">
      <c r="A32" t="s">
        <v>93</v>
      </c>
      <c r="B32">
        <v>0.26500000000000001</v>
      </c>
      <c r="C32" t="s">
        <v>71</v>
      </c>
    </row>
    <row r="38" spans="1:1" x14ac:dyDescent="0.35">
      <c r="A38" s="8" t="s">
        <v>46</v>
      </c>
    </row>
    <row r="39" spans="1:1" x14ac:dyDescent="0.35">
      <c r="A39" t="s">
        <v>73</v>
      </c>
    </row>
    <row r="40" spans="1:1" x14ac:dyDescent="0.35">
      <c r="A40" t="s">
        <v>53</v>
      </c>
    </row>
    <row r="41" spans="1:1" x14ac:dyDescent="0.35">
      <c r="A41"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adders working</vt:lpstr>
      <vt:lpstr>adders 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Speizer, Simone A</dc:creator>
  <cp:lastModifiedBy>Speizer, Simone A</cp:lastModifiedBy>
  <dcterms:created xsi:type="dcterms:W3CDTF">2022-07-28T14:18:09Z</dcterms:created>
  <dcterms:modified xsi:type="dcterms:W3CDTF">2022-09-15T15:49:49Z</dcterms:modified>
</cp:coreProperties>
</file>