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pei632\Documents\GCAM_industry\food_processing\"/>
    </mc:Choice>
  </mc:AlternateContent>
  <xr:revisionPtr revIDLastSave="0" documentId="13_ncr:1_{E284A101-F2C1-465F-ADE8-EC6BD98F1ACF}" xr6:coauthVersionLast="47" xr6:coauthVersionMax="47" xr10:uidLastSave="{00000000-0000-0000-0000-000000000000}"/>
  <bookViews>
    <workbookView xWindow="1970" yWindow="-16450" windowWidth="23980" windowHeight="14940" xr2:uid="{34AE4EF8-B5B7-475C-B9E2-D77ABC490651}"/>
  </bookViews>
  <sheets>
    <sheet name="process heat technologi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2" i="1" l="1"/>
  <c r="O21" i="1"/>
  <c r="O20" i="1"/>
  <c r="O19" i="1"/>
  <c r="C50" i="1"/>
  <c r="C46" i="1"/>
  <c r="C4" i="1"/>
  <c r="C54" i="1" l="1"/>
  <c r="E54" i="1" s="1"/>
  <c r="C53" i="1"/>
  <c r="C3" i="1"/>
  <c r="H22" i="1" s="1"/>
  <c r="C5" i="1"/>
  <c r="C8" i="1"/>
  <c r="C15" i="1"/>
  <c r="D54" i="1" l="1"/>
  <c r="F54" i="1" s="1"/>
  <c r="E53" i="1"/>
  <c r="D53" i="1"/>
  <c r="I22" i="1"/>
  <c r="J22" i="1" s="1"/>
  <c r="I20" i="1"/>
  <c r="I21" i="1"/>
  <c r="I54" i="1" s="1"/>
  <c r="I19" i="1"/>
  <c r="I53" i="1" s="1"/>
  <c r="D19" i="1"/>
  <c r="E19" i="1" s="1"/>
  <c r="F19" i="1" s="1"/>
  <c r="D20" i="1"/>
  <c r="E20" i="1" s="1"/>
  <c r="F20" i="1" s="1"/>
  <c r="D21" i="1"/>
  <c r="E21" i="1" s="1"/>
  <c r="F21" i="1" s="1"/>
  <c r="D22" i="1"/>
  <c r="E22" i="1" s="1"/>
  <c r="F22" i="1" s="1"/>
  <c r="H19" i="1"/>
  <c r="H20" i="1"/>
  <c r="H21" i="1"/>
  <c r="F53" i="1" l="1"/>
  <c r="J21" i="1"/>
  <c r="K21" i="1" s="1"/>
  <c r="J20" i="1"/>
  <c r="K20" i="1" s="1"/>
  <c r="M20" i="1" s="1"/>
  <c r="N20" i="1" s="1"/>
  <c r="J19" i="1"/>
  <c r="K19" i="1" s="1"/>
  <c r="K22" i="1"/>
  <c r="M22" i="1" s="1"/>
  <c r="N22" i="1" s="1"/>
  <c r="M19" i="1" l="1"/>
  <c r="M28" i="1" s="1"/>
  <c r="N28" i="1" s="1"/>
  <c r="G53" i="1"/>
  <c r="H53" i="1" s="1"/>
  <c r="M53" i="1" s="1"/>
  <c r="N53" i="1" s="1"/>
  <c r="M21" i="1"/>
  <c r="N21" i="1" s="1"/>
  <c r="G54" i="1"/>
  <c r="H54" i="1" s="1"/>
  <c r="M54" i="1" s="1"/>
  <c r="N54" i="1" s="1"/>
  <c r="M30" i="1"/>
  <c r="N30" i="1" s="1"/>
  <c r="M25" i="1" l="1"/>
  <c r="N25" i="1" s="1"/>
  <c r="M26" i="1"/>
  <c r="M31" i="1" s="1"/>
  <c r="N31" i="1" s="1"/>
  <c r="M27" i="1"/>
  <c r="M32" i="1" s="1"/>
  <c r="N32" i="1" s="1"/>
  <c r="N19" i="1"/>
  <c r="N27" i="1" l="1"/>
  <c r="N26" i="1"/>
</calcChain>
</file>

<file path=xl/sharedStrings.xml><?xml version="1.0" encoding="utf-8"?>
<sst xmlns="http://schemas.openxmlformats.org/spreadsheetml/2006/main" count="103" uniqueCount="84">
  <si>
    <t>Constants</t>
  </si>
  <si>
    <t>https://data.worldbank.org/indicator/NY.GDP.DEFL.ZS (for the US)</t>
  </si>
  <si>
    <t>Assumptions</t>
  </si>
  <si>
    <t>Discount rate</t>
  </si>
  <si>
    <t>Fixed charge rate</t>
  </si>
  <si>
    <t>Capacity factor of food processing boilers (US value)</t>
  </si>
  <si>
    <t>Average food processing boiler capacity (US value, MMBtu/hr)</t>
  </si>
  <si>
    <t>Boiler lifetime (years)</t>
  </si>
  <si>
    <t>https://www.energy.gov/sites/prod/files/2013/11/f4/characterization_industrial_commerical_boiler_population.pdf</t>
  </si>
  <si>
    <t>https://www.tpctraining.com/blogs/news/how-to-extend-boiler-life, https://www.mdpi.com/1996-1073/11/10/2630/htm, https://iea-etsap.org/E-TechDS/PDF/I01-ind_boilers-GS-AD-gct.pdf</t>
  </si>
  <si>
    <t>Calculated from discount rate and lifetime</t>
  </si>
  <si>
    <t>technology</t>
  </si>
  <si>
    <t>CAPEX (1975$/kW)</t>
  </si>
  <si>
    <t>natural gas steam boiler</t>
  </si>
  <si>
    <t>electric boiler</t>
  </si>
  <si>
    <t>electric heat pump (100-180 deg C)</t>
  </si>
  <si>
    <t>MWh to GJ</t>
  </si>
  <si>
    <t>O&amp;M (1975$/GJ)</t>
  </si>
  <si>
    <t>total CAPEX (1975$)</t>
  </si>
  <si>
    <t>MW to kW</t>
  </si>
  <si>
    <t>MMBtu/hr to MW</t>
  </si>
  <si>
    <t>Assumption</t>
  </si>
  <si>
    <t>hours per year</t>
  </si>
  <si>
    <t>annual CAPEX (1975$/yr)</t>
  </si>
  <si>
    <t>annual output (GJ/yr)</t>
  </si>
  <si>
    <t>annual O&amp;M (1975$/yr)</t>
  </si>
  <si>
    <t>total annual cost (1975$/yr)</t>
  </si>
  <si>
    <t>levelized non-energy cost (1975$/GJ)</t>
  </si>
  <si>
    <t>Source</t>
  </si>
  <si>
    <t>refined liquids cogen</t>
  </si>
  <si>
    <t>coal cogen</t>
  </si>
  <si>
    <t>Base calculations</t>
  </si>
  <si>
    <t>https://www.eeca.govt.nz/insights/eeca-insights/biomass-boilers-for-industrial-process-heat/</t>
  </si>
  <si>
    <t>refined liquids boiler</t>
  </si>
  <si>
    <t>coal boiler</t>
  </si>
  <si>
    <t>biomass boiler</t>
  </si>
  <si>
    <t>biomass cogen</t>
  </si>
  <si>
    <t>assume the same levelized non-energy costs as for natural gas boilers, based on the estimates in the source at right</t>
  </si>
  <si>
    <t>assume a 2.5x increase in levelized non-energy costs relative to natural gas boilers, based on the estimates in the source at right</t>
  </si>
  <si>
    <t>natural gas cogen</t>
  </si>
  <si>
    <t>assume same percentage increase in levelized non-energy costs as for natural gas boilers with cogen</t>
  </si>
  <si>
    <t>multiplier on natural gas boiler costs</t>
  </si>
  <si>
    <t>Other carbon-based fuel technologies</t>
  </si>
  <si>
    <t>Solar thermal</t>
  </si>
  <si>
    <t>heat (district heat)</t>
  </si>
  <si>
    <t>assume the same levelized non-energy costs as for natural gas boilers</t>
  </si>
  <si>
    <t>(placeholder, doesn't affect final values), https://www.energy.gov/sites/prod/files/2013/11/f4/characterization_industrial_commerical_boiler_population.pdf</t>
  </si>
  <si>
    <t>2021 USD to 1975 USD</t>
  </si>
  <si>
    <t>CAPEX (2021$/kW)</t>
  </si>
  <si>
    <t>O&amp;M (2021$/MWh)</t>
  </si>
  <si>
    <t>Agora Industry, FutureCamp Climate, and Wuppertal Institute, “Power-2-Heat: Direct Electrification of
Industrial Process Heat - Calculator for Estimating Transformation Costs,” 2022 - via Rissman 2022, https://energyinnovation.org/wp-content/uploads/2022/10/Decarbonizing-Low-Temperature-Industrial-Heat-In-The-U.S.-Report-2.pdf</t>
  </si>
  <si>
    <t>rounded</t>
  </si>
  <si>
    <t>We assume that solar thermal units are integrated alongside other technologies, as solar thermal systems are not likely to be able to supply all the necessary industrial process heat demand (even with storage) due to variation in solar radiation intensity.</t>
  </si>
  <si>
    <t>The solar thermal unit will displace some of the energy that would have otherwise been produced by the other fuel source, but the total annual output of the combined system will be the same.</t>
  </si>
  <si>
    <t>Thus, we can obtain the costs of systems combining other technologies + solar thermal as the sum of the annual CAPEX and OPEX for the other technologies and the annual CAPEX and OPEX of the solar thermal systems, and divide by the total annual output (same assumption) to get levelized costs.</t>
  </si>
  <si>
    <t>2014 USD to 1975 USD</t>
  </si>
  <si>
    <t>Lifetime (years)</t>
  </si>
  <si>
    <t>General assumptions</t>
  </si>
  <si>
    <t>Parameter assumptions</t>
  </si>
  <si>
    <t>Total investment cost (2014$/kW)</t>
  </si>
  <si>
    <t>Installed capacity (MW)</t>
  </si>
  <si>
    <t>Average installed capacity of solar industrial process heat installations in the food processing sector from Figure 9 in https://www.sciencedirect.com/science/article/pii/S0360544220311907 (derived from data at http://ship-plants.info/)</t>
  </si>
  <si>
    <t>Solar fraction</t>
  </si>
  <si>
    <t>gas + solar</t>
  </si>
  <si>
    <t>electric + solar</t>
  </si>
  <si>
    <t>total solar CAPEX (1975$)</t>
  </si>
  <si>
    <t>annual solar CAPEX (1975$/yr)</t>
  </si>
  <si>
    <t>Annual OPEX costs (fraction of total CAPEX costs)</t>
  </si>
  <si>
    <t>total annual solar costs (1975$/yr)</t>
  </si>
  <si>
    <t>annual solar OPEX (1975$/yr)</t>
  </si>
  <si>
    <t>total annual base technology costs (1975$/yr)</t>
  </si>
  <si>
    <t>total combined system costs (1975$/yr)</t>
  </si>
  <si>
    <t>Other solar thermal assumptions</t>
  </si>
  <si>
    <t>Defined as the fraction of the total industrial heat thermal load provided by the solar thermal system. Reported values range from 0.14-0.60 depending on the type of solar collector (and location), but most estimates tend to be around 0.2-0.3.</t>
  </si>
  <si>
    <t xml:space="preserve">Values range from 1-5% in http://proceedings.ises.org/paper/swc2019/swc2019-0057-Lemos.pdf, https://www.sciencedirect.com/science/article/pii/S0306261917312217, https://www.mdpi.com/1996-1073/10/3/383, https://www.sciencedirect.com/science/article/pii/S0306261917317798, https://www.sciencedirect.com/science/article/pii/S2213138817302412   </t>
  </si>
  <si>
    <t xml:space="preserve">Values range from 15-30 years in https://www.sciencedirect.com/science/article/pii/S2213138817302412, http://proceedings.ises.org/paper/swc2019/swc2019-0056-Kurup.pdf, https://www.sciencedirect.com/science/article/pii/S0306261917317798, https://www.sciencedirect.com/science/article/pii/S019689041500967X, https://www.mdpi.com/1996-1073/10/3/383, http://proceedings.ises.org/paper/swc2019/swc2019-0057-Lemos.pdf  </t>
  </si>
  <si>
    <t>We further assume that the installation of a solar thermal unit would not affect the selected installed capacity of the other technology (e.g., boiler), as when the solar thermal unit is not able to operate (such as on a rainy or cloudy day) and all the storage has been exhausted, the same maximum power will be required.</t>
  </si>
  <si>
    <t>Sources: https://www.sciencedirect.com/science/article/pii/S0306261917312217 (0.41), https://www.sciencedirect.com/science/article/pii/S2213138817302412 (0.16-0.33 but most around 0.23-0.25), https://www.irena.org/-/media/Files/IRENA/Agency/Publication/2015/IRENA_ETSAP_Tech_Brief_E21_Solar_Heat_Industrial_2015.pdf?rev=8ac12a0d56b74c27b440f90919f5c7a0  (0.1-0.2), https://www.sciencedirect.com/science/article/pii/S0306261917317798 (0.3-0.7), http://proceedings.ises.org/paper/swc2019/swc2019-0056-Kurup.pdf (0.6), https://www.nrel.gov/docs/fy21osti/77760.pdf</t>
  </si>
  <si>
    <t>Solar efficiency</t>
  </si>
  <si>
    <t>Most process heat demands in the food processing sector are for relatively low temperature heat (&lt;120 degrees C); however, some processes, such as drying and sterilization, require higher temperatures (sources: https://www.sciencedirect.com/science/article/pii/S0360544220311907 Figure 5, https://www.irena.org/-/media/Files/IRENA/Agency/Publication/2015/IRENA_ETSAP_Tech_Brief_E21_Solar_Heat_Industrial_2015.pdf?rev=8ac12a0d56b74c27b440f90919f5c7a0 Table 1, https://www.sciencedirect.com/science/article/pii/S0360544218305759)</t>
  </si>
  <si>
    <t>Median value for parabolic trough collector for industrial process heat &gt;400m^2 in gross area from Figure 3 in https://www.sciencedirect.com/science/article/pii/S0360544220311907 (derived from data at http://ship-plants.info/)</t>
  </si>
  <si>
    <t>For a conservative estimate, we will use the higher costs associated with parabolic trough collectors (PTCs) which are capable of producing medium to high temperature heat as well as low temperature heat and have been considered in some previous work as technologies for food processing sector heat generation (e.g., https://www.sciencedirect.com/science/article/pii/S2213138817302412)</t>
  </si>
  <si>
    <t>Sources: based on the range as a function of temperature for parabolic trough collectors from appendices of "Renewable Energy Options for Industrial Process Heat", https://arena.gov.au/assets/2019/11/appendices-renewable-energy-options-for-industrial-process-heat.pdf</t>
  </si>
  <si>
    <t>capital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</si>
</sst>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53">
    <xf numFmtId="0" fontId="0" fillId="0" borderId="0" xfId="0"/>
    <xf numFmtId="0" fontId="0" fillId="0" borderId="0" xfId="0" applyAlignment="1">
      <alignment wrapText="1"/>
    </xf>
    <xf numFmtId="0" fontId="1" fillId="0" borderId="1" xfId="0" applyFont="1" applyBorder="1"/>
    <xf numFmtId="0" fontId="0" fillId="0" borderId="2" xfId="0" applyBorder="1"/>
    <xf numFmtId="0" fontId="0" fillId="0" borderId="3" xfId="0" applyBorder="1" applyAlignment="1">
      <alignment wrapText="1"/>
    </xf>
    <xf numFmtId="0" fontId="0" fillId="0" borderId="4" xfId="0" applyBorder="1"/>
    <xf numFmtId="0" fontId="0" fillId="0" borderId="5" xfId="0" applyBorder="1" applyAlignment="1">
      <alignment wrapText="1"/>
    </xf>
    <xf numFmtId="0" fontId="0" fillId="0" borderId="6" xfId="0" applyBorder="1"/>
    <xf numFmtId="0" fontId="1" fillId="0" borderId="1" xfId="0" applyFont="1" applyFill="1" applyBorder="1" applyAlignment="1">
      <alignment wrapText="1"/>
    </xf>
    <xf numFmtId="0" fontId="2" fillId="0" borderId="0" xfId="1"/>
    <xf numFmtId="0" fontId="0" fillId="0" borderId="0" xfId="0" applyBorder="1"/>
    <xf numFmtId="0" fontId="0" fillId="0" borderId="5" xfId="0" applyBorder="1"/>
    <xf numFmtId="0" fontId="1" fillId="0" borderId="0" xfId="0" applyFont="1" applyAlignment="1">
      <alignment wrapText="1"/>
    </xf>
    <xf numFmtId="0" fontId="0" fillId="0" borderId="7" xfId="0" applyBorder="1"/>
    <xf numFmtId="0" fontId="1" fillId="0" borderId="3" xfId="0" applyFont="1" applyFill="1" applyBorder="1" applyAlignment="1">
      <alignment wrapText="1"/>
    </xf>
    <xf numFmtId="0" fontId="1" fillId="0" borderId="0" xfId="0" applyFont="1" applyBorder="1" applyAlignment="1">
      <alignment wrapText="1"/>
    </xf>
    <xf numFmtId="0" fontId="0" fillId="0" borderId="3" xfId="0" applyFill="1" applyBorder="1" applyAlignment="1">
      <alignment wrapText="1"/>
    </xf>
    <xf numFmtId="0" fontId="0" fillId="0" borderId="5" xfId="0" applyFill="1" applyBorder="1" applyAlignment="1">
      <alignment wrapText="1"/>
    </xf>
    <xf numFmtId="0" fontId="0" fillId="0" borderId="8" xfId="0" applyBorder="1"/>
    <xf numFmtId="0" fontId="0" fillId="0" borderId="3" xfId="0" applyFont="1" applyBorder="1"/>
    <xf numFmtId="0" fontId="0" fillId="0" borderId="5" xfId="0" applyFont="1" applyBorder="1"/>
    <xf numFmtId="0" fontId="0" fillId="0" borderId="0" xfId="0" applyFill="1" applyBorder="1"/>
    <xf numFmtId="0" fontId="1" fillId="0" borderId="7" xfId="0" applyFont="1" applyBorder="1" applyAlignment="1">
      <alignment wrapText="1"/>
    </xf>
    <xf numFmtId="0" fontId="0" fillId="0" borderId="0" xfId="0" applyFill="1"/>
    <xf numFmtId="0" fontId="0" fillId="2" borderId="0" xfId="0" applyFill="1" applyBorder="1"/>
    <xf numFmtId="0" fontId="0" fillId="2" borderId="8" xfId="0" applyFill="1" applyBorder="1"/>
    <xf numFmtId="0" fontId="1" fillId="3" borderId="4" xfId="0" applyFont="1" applyFill="1" applyBorder="1" applyAlignment="1">
      <alignment wrapText="1"/>
    </xf>
    <xf numFmtId="0" fontId="0" fillId="3" borderId="4" xfId="0" applyFill="1" applyBorder="1"/>
    <xf numFmtId="0" fontId="0" fillId="3" borderId="6" xfId="0" applyFill="1" applyBorder="1"/>
    <xf numFmtId="0" fontId="1" fillId="3" borderId="2" xfId="0" applyFont="1" applyFill="1" applyBorder="1" applyAlignment="1">
      <alignment wrapText="1"/>
    </xf>
    <xf numFmtId="0" fontId="0" fillId="2" borderId="0" xfId="0" applyFill="1" applyAlignment="1"/>
    <xf numFmtId="0" fontId="1" fillId="3" borderId="0" xfId="0" applyFont="1" applyFill="1" applyBorder="1" applyAlignment="1">
      <alignment wrapText="1"/>
    </xf>
    <xf numFmtId="0" fontId="0" fillId="3" borderId="0" xfId="0" applyFill="1" applyBorder="1"/>
    <xf numFmtId="0" fontId="0" fillId="3" borderId="8" xfId="0" applyFill="1" applyBorder="1"/>
    <xf numFmtId="0" fontId="1" fillId="3" borderId="7" xfId="0" applyFont="1" applyFill="1" applyBorder="1" applyAlignment="1">
      <alignment wrapText="1"/>
    </xf>
    <xf numFmtId="0" fontId="1" fillId="0" borderId="3" xfId="0" applyFont="1" applyBorder="1"/>
    <xf numFmtId="0" fontId="0" fillId="0" borderId="3" xfId="0" applyBorder="1"/>
    <xf numFmtId="0" fontId="0" fillId="0" borderId="0" xfId="0" applyFill="1" applyBorder="1" applyAlignment="1">
      <alignment wrapText="1"/>
    </xf>
    <xf numFmtId="0" fontId="0" fillId="0" borderId="9" xfId="0" applyBorder="1"/>
    <xf numFmtId="0" fontId="0" fillId="0" borderId="10" xfId="0" applyBorder="1"/>
    <xf numFmtId="0" fontId="0" fillId="0" borderId="11" xfId="0" applyBorder="1"/>
    <xf numFmtId="0" fontId="0" fillId="0" borderId="8" xfId="0" applyFont="1" applyBorder="1"/>
    <xf numFmtId="0" fontId="0" fillId="0" borderId="8" xfId="0" applyFill="1" applyBorder="1"/>
    <xf numFmtId="0" fontId="0" fillId="0" borderId="13" xfId="0" applyBorder="1" applyAlignment="1">
      <alignment wrapText="1"/>
    </xf>
    <xf numFmtId="0" fontId="1" fillId="0" borderId="12" xfId="0" applyFont="1" applyBorder="1"/>
    <xf numFmtId="0" fontId="1" fillId="0" borderId="12" xfId="0" applyFont="1" applyBorder="1" applyAlignment="1">
      <alignment wrapText="1"/>
    </xf>
    <xf numFmtId="0" fontId="1" fillId="0" borderId="14" xfId="0" applyFont="1" applyBorder="1" applyAlignment="1">
      <alignment wrapText="1"/>
    </xf>
    <xf numFmtId="0" fontId="0" fillId="0" borderId="14" xfId="0" applyBorder="1" applyAlignment="1">
      <alignment wrapText="1"/>
    </xf>
    <xf numFmtId="0" fontId="1" fillId="3" borderId="14" xfId="0" applyFont="1" applyFill="1" applyBorder="1" applyAlignment="1">
      <alignment wrapText="1"/>
    </xf>
    <xf numFmtId="0" fontId="1" fillId="3" borderId="15" xfId="0" applyFont="1" applyFill="1" applyBorder="1" applyAlignment="1">
      <alignment wrapText="1"/>
    </xf>
    <xf numFmtId="0" fontId="0" fillId="4" borderId="0" xfId="0" applyFill="1" applyBorder="1"/>
    <xf numFmtId="0" fontId="0" fillId="4" borderId="0" xfId="0" applyFill="1"/>
    <xf numFmtId="0" fontId="1" fillId="0" borderId="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3/11/f4/characterization_industrial_commerical_boiler_popul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238C-106E-4388-8591-908DEC2A4380}">
  <dimension ref="A1:T59"/>
  <sheetViews>
    <sheetView tabSelected="1" zoomScaleNormal="100" workbookViewId="0">
      <selection activeCell="J19" sqref="J19"/>
    </sheetView>
  </sheetViews>
  <sheetFormatPr defaultRowHeight="14.5" x14ac:dyDescent="0.35"/>
  <cols>
    <col min="2" max="2" width="20.08984375" customWidth="1"/>
    <col min="3" max="3" width="12.36328125" customWidth="1"/>
    <col min="4" max="4" width="12" customWidth="1"/>
    <col min="5" max="5" width="12.54296875" customWidth="1"/>
    <col min="6" max="6" width="12" customWidth="1"/>
    <col min="7" max="7" width="15.1796875" customWidth="1"/>
    <col min="8" max="8" width="11.6328125" customWidth="1"/>
    <col min="9" max="9" width="13.1796875" customWidth="1"/>
    <col min="10" max="10" width="12.453125" customWidth="1"/>
    <col min="11" max="11" width="13.7265625" customWidth="1"/>
    <col min="12" max="12" width="8.08984375" customWidth="1"/>
    <col min="13" max="15" width="13" customWidth="1"/>
  </cols>
  <sheetData>
    <row r="1" spans="2:6" ht="15" thickBot="1" x14ac:dyDescent="0.4"/>
    <row r="2" spans="2:6" x14ac:dyDescent="0.35">
      <c r="B2" s="2" t="s">
        <v>0</v>
      </c>
      <c r="C2" s="3"/>
    </row>
    <row r="3" spans="2:6" x14ac:dyDescent="0.35">
      <c r="B3" s="4" t="s">
        <v>47</v>
      </c>
      <c r="C3" s="5">
        <f>28.5 / 113.6</f>
        <v>0.25088028169014087</v>
      </c>
      <c r="D3" s="23" t="s">
        <v>1</v>
      </c>
      <c r="E3" s="9"/>
      <c r="F3" s="9"/>
    </row>
    <row r="4" spans="2:6" x14ac:dyDescent="0.35">
      <c r="B4" s="4" t="s">
        <v>55</v>
      </c>
      <c r="C4" s="5">
        <f>28.5 / 99</f>
        <v>0.2878787878787879</v>
      </c>
      <c r="D4" s="23" t="s">
        <v>1</v>
      </c>
      <c r="E4" s="9"/>
      <c r="F4" s="9"/>
    </row>
    <row r="5" spans="2:6" x14ac:dyDescent="0.35">
      <c r="B5" s="4" t="s">
        <v>22</v>
      </c>
      <c r="C5" s="5">
        <f>24*365</f>
        <v>8760</v>
      </c>
    </row>
    <row r="6" spans="2:6" x14ac:dyDescent="0.35">
      <c r="B6" s="4" t="s">
        <v>19</v>
      </c>
      <c r="C6" s="5">
        <v>1000</v>
      </c>
    </row>
    <row r="7" spans="2:6" x14ac:dyDescent="0.35">
      <c r="B7" s="4" t="s">
        <v>16</v>
      </c>
      <c r="C7" s="5">
        <v>3.6</v>
      </c>
    </row>
    <row r="8" spans="2:6" ht="15" thickBot="1" x14ac:dyDescent="0.4">
      <c r="B8" s="11" t="s">
        <v>20</v>
      </c>
      <c r="C8" s="7">
        <f>293.07107*10^-3</f>
        <v>0.29307107000000004</v>
      </c>
    </row>
    <row r="9" spans="2:6" ht="15" thickBot="1" x14ac:dyDescent="0.4"/>
    <row r="10" spans="2:6" x14ac:dyDescent="0.35">
      <c r="B10" s="8" t="s">
        <v>2</v>
      </c>
      <c r="C10" s="3"/>
    </row>
    <row r="11" spans="2:6" ht="43.5" x14ac:dyDescent="0.35">
      <c r="B11" s="4" t="s">
        <v>5</v>
      </c>
      <c r="C11" s="5">
        <v>0.31</v>
      </c>
      <c r="D11" s="9" t="s">
        <v>8</v>
      </c>
      <c r="E11" s="9"/>
      <c r="F11" s="9"/>
    </row>
    <row r="12" spans="2:6" ht="58" x14ac:dyDescent="0.35">
      <c r="B12" s="4" t="s">
        <v>6</v>
      </c>
      <c r="C12" s="5">
        <v>20</v>
      </c>
      <c r="D12" s="23" t="s">
        <v>46</v>
      </c>
      <c r="E12" s="9"/>
      <c r="F12" s="9"/>
    </row>
    <row r="13" spans="2:6" x14ac:dyDescent="0.35">
      <c r="B13" s="4" t="s">
        <v>7</v>
      </c>
      <c r="C13" s="5">
        <v>25</v>
      </c>
      <c r="D13" t="s">
        <v>9</v>
      </c>
    </row>
    <row r="14" spans="2:6" x14ac:dyDescent="0.35">
      <c r="B14" s="4" t="s">
        <v>3</v>
      </c>
      <c r="C14" s="5">
        <v>0.1</v>
      </c>
      <c r="D14" t="s">
        <v>21</v>
      </c>
    </row>
    <row r="15" spans="2:6" ht="15" thickBot="1" x14ac:dyDescent="0.4">
      <c r="B15" s="6" t="s">
        <v>4</v>
      </c>
      <c r="C15" s="7">
        <f>(C14*(1+C14)^C13)/((1+C14)^C13-1)</f>
        <v>0.11016807219002084</v>
      </c>
      <c r="D15" t="s">
        <v>10</v>
      </c>
    </row>
    <row r="16" spans="2:6" ht="15" thickBot="1" x14ac:dyDescent="0.4"/>
    <row r="17" spans="2:19" x14ac:dyDescent="0.35">
      <c r="B17" s="8" t="s">
        <v>31</v>
      </c>
      <c r="C17" s="13"/>
      <c r="D17" s="13"/>
      <c r="E17" s="13"/>
      <c r="F17" s="13"/>
      <c r="G17" s="13"/>
      <c r="H17" s="13"/>
      <c r="I17" s="13"/>
      <c r="J17" s="13"/>
      <c r="K17" s="13"/>
      <c r="L17" s="13"/>
      <c r="M17" s="13"/>
      <c r="N17" s="3"/>
      <c r="O17" s="10"/>
    </row>
    <row r="18" spans="2:19" ht="43.5" x14ac:dyDescent="0.35">
      <c r="B18" s="14" t="s">
        <v>11</v>
      </c>
      <c r="C18" s="15" t="s">
        <v>48</v>
      </c>
      <c r="D18" s="15" t="s">
        <v>12</v>
      </c>
      <c r="E18" s="15" t="s">
        <v>18</v>
      </c>
      <c r="F18" s="15" t="s">
        <v>23</v>
      </c>
      <c r="G18" s="15" t="s">
        <v>49</v>
      </c>
      <c r="H18" s="15" t="s">
        <v>17</v>
      </c>
      <c r="I18" s="15" t="s">
        <v>24</v>
      </c>
      <c r="J18" s="15" t="s">
        <v>25</v>
      </c>
      <c r="K18" s="15" t="s">
        <v>26</v>
      </c>
      <c r="L18" s="15"/>
      <c r="M18" s="31" t="s">
        <v>27</v>
      </c>
      <c r="N18" s="26" t="s">
        <v>51</v>
      </c>
      <c r="O18" s="52" t="s">
        <v>83</v>
      </c>
      <c r="P18" s="1"/>
      <c r="Q18" s="12" t="s">
        <v>28</v>
      </c>
    </row>
    <row r="19" spans="2:19" ht="29" x14ac:dyDescent="0.35">
      <c r="B19" s="16" t="s">
        <v>13</v>
      </c>
      <c r="C19" s="24">
        <v>234</v>
      </c>
      <c r="D19" s="10">
        <f>C19*$C$3</f>
        <v>58.705985915492967</v>
      </c>
      <c r="E19" s="10">
        <f>D19*$C$12*$C$8*$C$6</f>
        <v>344100.52215316909</v>
      </c>
      <c r="F19" s="10">
        <f>E19*$C$15</f>
        <v>37908.891165194196</v>
      </c>
      <c r="G19" s="24">
        <v>6</v>
      </c>
      <c r="H19" s="10">
        <f>G19*$C$3/$C$7</f>
        <v>0.41813380281690143</v>
      </c>
      <c r="I19" s="10">
        <f>$C$12*$C$8*$C$5*$C$7*$C$11</f>
        <v>57302.193433824017</v>
      </c>
      <c r="J19" s="10">
        <f>H19*I19</f>
        <v>23959.984050234514</v>
      </c>
      <c r="K19" s="10">
        <f>J19+F19</f>
        <v>61868.875215428707</v>
      </c>
      <c r="L19" s="10"/>
      <c r="M19" s="32">
        <f>K19/I19</f>
        <v>1.0796947116322617</v>
      </c>
      <c r="N19" s="27">
        <f>ROUND(M19,2)</f>
        <v>1.08</v>
      </c>
      <c r="O19" s="21">
        <f>F19/K19</f>
        <v>0.61272960003223997</v>
      </c>
      <c r="Q19" s="30" t="s">
        <v>50</v>
      </c>
    </row>
    <row r="20" spans="2:19" x14ac:dyDescent="0.35">
      <c r="B20" s="16" t="s">
        <v>39</v>
      </c>
      <c r="C20" s="24">
        <v>900</v>
      </c>
      <c r="D20" s="10">
        <f t="shared" ref="D20:D22" si="0">C20*$C$3</f>
        <v>225.79225352112678</v>
      </c>
      <c r="E20" s="10">
        <f>D20*$C$12*$C$8*$C$6</f>
        <v>1323463.5467429582</v>
      </c>
      <c r="F20" s="10">
        <f t="shared" ref="F20:F22" si="1">E20*$C$15</f>
        <v>145803.42755843923</v>
      </c>
      <c r="G20" s="24">
        <v>3</v>
      </c>
      <c r="H20" s="10">
        <f>G20*$C$3/$C$7</f>
        <v>0.20906690140845072</v>
      </c>
      <c r="I20" s="10">
        <f>$C$12*$C$8*$C$5*$C$7*$C$11</f>
        <v>57302.193433824017</v>
      </c>
      <c r="J20" s="10">
        <f t="shared" ref="J20:J22" si="2">H20*I20</f>
        <v>11979.992025117257</v>
      </c>
      <c r="K20" s="10">
        <f>J20+F20</f>
        <v>157783.41958355648</v>
      </c>
      <c r="L20" s="10"/>
      <c r="M20" s="32">
        <f t="shared" ref="M20:M22" si="3">K20/I20</f>
        <v>2.7535319353136831</v>
      </c>
      <c r="N20" s="27">
        <f t="shared" ref="N20:N22" si="4">ROUND(M20,2)</f>
        <v>2.75</v>
      </c>
      <c r="O20" s="21">
        <f>F20/K20</f>
        <v>0.92407318806540972</v>
      </c>
      <c r="Q20" s="30" t="s">
        <v>50</v>
      </c>
    </row>
    <row r="21" spans="2:19" x14ac:dyDescent="0.35">
      <c r="B21" s="16" t="s">
        <v>14</v>
      </c>
      <c r="C21" s="24">
        <v>175</v>
      </c>
      <c r="D21" s="10">
        <f t="shared" si="0"/>
        <v>43.904049295774655</v>
      </c>
      <c r="E21" s="10">
        <f>D21*$C$12*$C$8*$C$6</f>
        <v>257340.13408890855</v>
      </c>
      <c r="F21" s="10">
        <f t="shared" si="1"/>
        <v>28350.66646969652</v>
      </c>
      <c r="G21" s="24">
        <v>3</v>
      </c>
      <c r="H21" s="10">
        <f>G21*$C$3/$C$7</f>
        <v>0.20906690140845072</v>
      </c>
      <c r="I21" s="10">
        <f>$C$12*$C$8*$C$5*$C$7*$C$11</f>
        <v>57302.193433824017</v>
      </c>
      <c r="J21" s="10">
        <f t="shared" si="2"/>
        <v>11979.992025117257</v>
      </c>
      <c r="K21" s="10">
        <f>J21+F21</f>
        <v>40330.658494813775</v>
      </c>
      <c r="L21" s="10"/>
      <c r="M21" s="32">
        <f t="shared" si="3"/>
        <v>0.70382399133446816</v>
      </c>
      <c r="N21" s="27">
        <f t="shared" si="4"/>
        <v>0.7</v>
      </c>
      <c r="O21" s="21">
        <f>F21/K21</f>
        <v>0.70295570486016756</v>
      </c>
      <c r="Q21" s="30" t="s">
        <v>50</v>
      </c>
    </row>
    <row r="22" spans="2:19" ht="29.5" thickBot="1" x14ac:dyDescent="0.4">
      <c r="B22" s="17" t="s">
        <v>15</v>
      </c>
      <c r="C22" s="25">
        <v>870</v>
      </c>
      <c r="D22" s="18">
        <f t="shared" si="0"/>
        <v>218.26584507042256</v>
      </c>
      <c r="E22" s="18">
        <f>D22*$C$12*$C$8*$C$6</f>
        <v>1279348.0951848596</v>
      </c>
      <c r="F22" s="18">
        <f t="shared" si="1"/>
        <v>140943.31330649127</v>
      </c>
      <c r="G22" s="25">
        <v>3</v>
      </c>
      <c r="H22" s="18">
        <f>G22*$C$3/$C$7</f>
        <v>0.20906690140845072</v>
      </c>
      <c r="I22" s="18">
        <f>$C$12*$C$8*$C$5*$C$7*$C$11</f>
        <v>57302.193433824017</v>
      </c>
      <c r="J22" s="18">
        <f t="shared" si="2"/>
        <v>11979.992025117257</v>
      </c>
      <c r="K22" s="18">
        <f>J22+F22</f>
        <v>152923.30533160851</v>
      </c>
      <c r="L22" s="18"/>
      <c r="M22" s="33">
        <f t="shared" si="3"/>
        <v>2.668716434183509</v>
      </c>
      <c r="N22" s="28">
        <f t="shared" si="4"/>
        <v>2.67</v>
      </c>
      <c r="O22" s="21">
        <f>F22/K22</f>
        <v>0.92166012891796267</v>
      </c>
      <c r="Q22" s="30" t="s">
        <v>50</v>
      </c>
    </row>
    <row r="23" spans="2:19" ht="15" thickBot="1" x14ac:dyDescent="0.4">
      <c r="O23" s="23"/>
    </row>
    <row r="24" spans="2:19" ht="43.5" x14ac:dyDescent="0.35">
      <c r="B24" s="8" t="s">
        <v>42</v>
      </c>
      <c r="C24" s="13"/>
      <c r="D24" s="13"/>
      <c r="E24" s="13"/>
      <c r="F24" s="13"/>
      <c r="G24" s="13"/>
      <c r="H24" s="13"/>
      <c r="I24" s="13"/>
      <c r="J24" s="13"/>
      <c r="K24" s="22" t="s">
        <v>41</v>
      </c>
      <c r="L24" s="22"/>
      <c r="M24" s="34" t="s">
        <v>27</v>
      </c>
      <c r="N24" s="29" t="s">
        <v>51</v>
      </c>
      <c r="O24" s="52"/>
    </row>
    <row r="25" spans="2:19" x14ac:dyDescent="0.35">
      <c r="B25" s="19" t="s">
        <v>33</v>
      </c>
      <c r="C25" s="10" t="s">
        <v>37</v>
      </c>
      <c r="D25" s="10"/>
      <c r="E25" s="10"/>
      <c r="F25" s="10"/>
      <c r="G25" s="10"/>
      <c r="H25" s="10"/>
      <c r="I25" s="10"/>
      <c r="J25" s="10"/>
      <c r="K25" s="50">
        <v>1</v>
      </c>
      <c r="L25" s="10"/>
      <c r="M25" s="32">
        <f>$M$19*K25</f>
        <v>1.0796947116322617</v>
      </c>
      <c r="N25" s="27">
        <f t="shared" ref="N25:N28" si="5">ROUND(M25,2)</f>
        <v>1.08</v>
      </c>
      <c r="O25" s="21"/>
      <c r="P25" s="10"/>
      <c r="Q25" s="51" t="s">
        <v>32</v>
      </c>
      <c r="R25" s="10"/>
      <c r="S25" s="10"/>
    </row>
    <row r="26" spans="2:19" x14ac:dyDescent="0.35">
      <c r="B26" s="19" t="s">
        <v>34</v>
      </c>
      <c r="C26" s="10" t="s">
        <v>38</v>
      </c>
      <c r="D26" s="10"/>
      <c r="E26" s="10"/>
      <c r="F26" s="10"/>
      <c r="G26" s="10"/>
      <c r="H26" s="10"/>
      <c r="I26" s="10"/>
      <c r="J26" s="10"/>
      <c r="K26" s="50">
        <v>2.5</v>
      </c>
      <c r="L26" s="10"/>
      <c r="M26" s="32">
        <f t="shared" ref="M26:M27" si="6">$M$19*K26</f>
        <v>2.6992367790806542</v>
      </c>
      <c r="N26" s="27">
        <f t="shared" si="5"/>
        <v>2.7</v>
      </c>
      <c r="O26" s="21"/>
      <c r="P26" s="10"/>
      <c r="Q26" s="50" t="s">
        <v>32</v>
      </c>
      <c r="R26" s="10"/>
      <c r="S26" s="10"/>
    </row>
    <row r="27" spans="2:19" x14ac:dyDescent="0.35">
      <c r="B27" s="19" t="s">
        <v>35</v>
      </c>
      <c r="C27" s="10" t="s">
        <v>38</v>
      </c>
      <c r="D27" s="10"/>
      <c r="E27" s="10"/>
      <c r="F27" s="10"/>
      <c r="G27" s="10"/>
      <c r="H27" s="10"/>
      <c r="I27" s="10"/>
      <c r="J27" s="10"/>
      <c r="K27" s="50">
        <v>2.5</v>
      </c>
      <c r="L27" s="10"/>
      <c r="M27" s="32">
        <f t="shared" si="6"/>
        <v>2.6992367790806542</v>
      </c>
      <c r="N27" s="27">
        <f t="shared" si="5"/>
        <v>2.7</v>
      </c>
      <c r="O27" s="21"/>
      <c r="P27" s="10"/>
      <c r="Q27" s="50" t="s">
        <v>32</v>
      </c>
      <c r="R27" s="10"/>
      <c r="S27" s="10"/>
    </row>
    <row r="28" spans="2:19" x14ac:dyDescent="0.35">
      <c r="B28" s="19" t="s">
        <v>44</v>
      </c>
      <c r="C28" s="21" t="s">
        <v>45</v>
      </c>
      <c r="D28" s="10"/>
      <c r="E28" s="10"/>
      <c r="F28" s="10"/>
      <c r="G28" s="10"/>
      <c r="H28" s="10"/>
      <c r="I28" s="10"/>
      <c r="J28" s="10"/>
      <c r="K28" s="21">
        <v>1</v>
      </c>
      <c r="L28" s="10"/>
      <c r="M28" s="32">
        <f>$M$19*K28</f>
        <v>1.0796947116322617</v>
      </c>
      <c r="N28" s="27">
        <f t="shared" si="5"/>
        <v>1.08</v>
      </c>
      <c r="O28" s="21"/>
      <c r="P28" s="10"/>
      <c r="Q28" s="10"/>
      <c r="R28" s="10"/>
      <c r="S28" s="10"/>
    </row>
    <row r="29" spans="2:19" x14ac:dyDescent="0.35">
      <c r="B29" s="19"/>
      <c r="C29" s="10"/>
      <c r="D29" s="10"/>
      <c r="E29" s="10"/>
      <c r="F29" s="10"/>
      <c r="G29" s="10"/>
      <c r="H29" s="10"/>
      <c r="I29" s="10"/>
      <c r="J29" s="10"/>
      <c r="K29" s="10"/>
      <c r="L29" s="10"/>
      <c r="M29" s="32"/>
      <c r="N29" s="27"/>
      <c r="O29" s="21"/>
      <c r="P29" s="10"/>
      <c r="Q29" s="10"/>
      <c r="R29" s="10"/>
      <c r="S29" s="10"/>
    </row>
    <row r="30" spans="2:19" x14ac:dyDescent="0.35">
      <c r="B30" s="19" t="s">
        <v>29</v>
      </c>
      <c r="C30" s="10" t="s">
        <v>40</v>
      </c>
      <c r="D30" s="10"/>
      <c r="E30" s="10"/>
      <c r="F30" s="10"/>
      <c r="G30" s="10"/>
      <c r="H30" s="10"/>
      <c r="I30" s="10"/>
      <c r="J30" s="10"/>
      <c r="K30" s="21"/>
      <c r="L30" s="21"/>
      <c r="M30" s="32">
        <f>M20</f>
        <v>2.7535319353136831</v>
      </c>
      <c r="N30" s="27">
        <f t="shared" ref="N30:N32" si="7">ROUND(M30,2)</f>
        <v>2.75</v>
      </c>
      <c r="O30" s="21"/>
      <c r="P30" s="10"/>
      <c r="Q30" s="10"/>
      <c r="R30" s="10"/>
      <c r="S30" s="10"/>
    </row>
    <row r="31" spans="2:19" x14ac:dyDescent="0.35">
      <c r="B31" s="19" t="s">
        <v>30</v>
      </c>
      <c r="C31" s="10" t="s">
        <v>40</v>
      </c>
      <c r="D31" s="10"/>
      <c r="E31" s="10"/>
      <c r="F31" s="10"/>
      <c r="G31" s="10"/>
      <c r="H31" s="10"/>
      <c r="I31" s="10"/>
      <c r="J31" s="10"/>
      <c r="K31" s="21"/>
      <c r="L31" s="21"/>
      <c r="M31" s="32">
        <f>(1+(M20-M19)/M19)*M26</f>
        <v>6.8838298382842069</v>
      </c>
      <c r="N31" s="27">
        <f t="shared" si="7"/>
        <v>6.88</v>
      </c>
      <c r="O31" s="21"/>
      <c r="P31" s="10"/>
      <c r="Q31" s="10"/>
      <c r="R31" s="10"/>
      <c r="S31" s="10"/>
    </row>
    <row r="32" spans="2:19" ht="15" thickBot="1" x14ac:dyDescent="0.4">
      <c r="B32" s="20" t="s">
        <v>36</v>
      </c>
      <c r="C32" s="18" t="s">
        <v>40</v>
      </c>
      <c r="D32" s="18"/>
      <c r="E32" s="18"/>
      <c r="F32" s="18"/>
      <c r="G32" s="18"/>
      <c r="H32" s="18"/>
      <c r="I32" s="18"/>
      <c r="J32" s="18"/>
      <c r="K32" s="18"/>
      <c r="L32" s="18"/>
      <c r="M32" s="33">
        <f>(1+(M20-M19)/M19)*M27</f>
        <v>6.8838298382842069</v>
      </c>
      <c r="N32" s="28">
        <f t="shared" si="7"/>
        <v>6.88</v>
      </c>
      <c r="O32" s="21"/>
      <c r="P32" s="10"/>
      <c r="Q32" s="10"/>
      <c r="R32" s="10"/>
      <c r="S32" s="10"/>
    </row>
    <row r="33" spans="1:20" ht="15" thickBot="1" x14ac:dyDescent="0.4">
      <c r="A33" s="18"/>
      <c r="B33" s="41"/>
      <c r="C33" s="18"/>
      <c r="D33" s="18"/>
      <c r="E33" s="18"/>
      <c r="F33" s="18"/>
      <c r="G33" s="18"/>
      <c r="H33" s="18"/>
      <c r="I33" s="18"/>
      <c r="J33" s="18"/>
      <c r="K33" s="18"/>
      <c r="L33" s="18"/>
      <c r="M33" s="42"/>
      <c r="N33" s="42"/>
      <c r="O33" s="42"/>
      <c r="P33" s="18"/>
      <c r="Q33" s="18"/>
      <c r="R33" s="18"/>
      <c r="S33" s="18"/>
      <c r="T33" s="18"/>
    </row>
    <row r="34" spans="1:20" ht="15" thickBot="1" x14ac:dyDescent="0.4">
      <c r="O34" s="23"/>
    </row>
    <row r="35" spans="1:20" x14ac:dyDescent="0.35">
      <c r="B35" s="2" t="s">
        <v>43</v>
      </c>
      <c r="C35" s="13"/>
      <c r="D35" s="13"/>
      <c r="E35" s="13"/>
      <c r="F35" s="13"/>
      <c r="G35" s="13"/>
      <c r="H35" s="13"/>
      <c r="I35" s="13"/>
      <c r="J35" s="13"/>
      <c r="K35" s="13"/>
      <c r="L35" s="13"/>
      <c r="M35" s="13"/>
      <c r="N35" s="3"/>
      <c r="O35" s="21"/>
    </row>
    <row r="36" spans="1:20" x14ac:dyDescent="0.35">
      <c r="B36" s="35" t="s">
        <v>57</v>
      </c>
      <c r="C36" s="10"/>
      <c r="D36" s="10"/>
      <c r="E36" s="10"/>
      <c r="F36" s="10"/>
      <c r="G36" s="10"/>
      <c r="H36" s="10"/>
      <c r="I36" s="10"/>
      <c r="J36" s="10"/>
      <c r="K36" s="10"/>
      <c r="L36" s="10"/>
      <c r="M36" s="10"/>
      <c r="N36" s="5"/>
      <c r="O36" s="21"/>
    </row>
    <row r="37" spans="1:20" x14ac:dyDescent="0.35">
      <c r="B37" s="36" t="s">
        <v>52</v>
      </c>
      <c r="C37" s="10"/>
      <c r="D37" s="10"/>
      <c r="E37" s="10"/>
      <c r="F37" s="10"/>
      <c r="G37" s="10"/>
      <c r="H37" s="10"/>
      <c r="I37" s="10"/>
      <c r="J37" s="10"/>
      <c r="K37" s="10"/>
      <c r="L37" s="10"/>
      <c r="M37" s="10"/>
      <c r="N37" s="5"/>
      <c r="O37" s="21"/>
    </row>
    <row r="38" spans="1:20" x14ac:dyDescent="0.35">
      <c r="B38" s="36" t="s">
        <v>76</v>
      </c>
      <c r="C38" s="10"/>
      <c r="D38" s="10"/>
      <c r="E38" s="10"/>
      <c r="F38" s="10"/>
      <c r="G38" s="10"/>
      <c r="H38" s="10"/>
      <c r="I38" s="10"/>
      <c r="J38" s="10"/>
      <c r="K38" s="10"/>
      <c r="L38" s="10"/>
      <c r="M38" s="10"/>
      <c r="N38" s="5"/>
      <c r="O38" s="21"/>
    </row>
    <row r="39" spans="1:20" x14ac:dyDescent="0.35">
      <c r="B39" s="36" t="s">
        <v>53</v>
      </c>
      <c r="C39" s="10"/>
      <c r="D39" s="10"/>
      <c r="E39" s="10"/>
      <c r="F39" s="10"/>
      <c r="G39" s="10"/>
      <c r="H39" s="10"/>
      <c r="I39" s="10"/>
      <c r="J39" s="10"/>
      <c r="K39" s="10"/>
      <c r="L39" s="10"/>
      <c r="M39" s="10"/>
      <c r="N39" s="5"/>
      <c r="O39" s="21"/>
    </row>
    <row r="40" spans="1:20" x14ac:dyDescent="0.35">
      <c r="B40" s="36" t="s">
        <v>54</v>
      </c>
      <c r="C40" s="10"/>
      <c r="D40" s="10"/>
      <c r="E40" s="10"/>
      <c r="F40" s="10"/>
      <c r="G40" s="10"/>
      <c r="H40" s="10"/>
      <c r="I40" s="10"/>
      <c r="J40" s="10"/>
      <c r="K40" s="10"/>
      <c r="L40" s="10"/>
      <c r="M40" s="10"/>
      <c r="N40" s="5"/>
      <c r="O40" s="21"/>
    </row>
    <row r="41" spans="1:20" x14ac:dyDescent="0.35">
      <c r="B41" s="36" t="s">
        <v>79</v>
      </c>
      <c r="C41" s="10"/>
      <c r="D41" s="10"/>
      <c r="E41" s="10"/>
      <c r="F41" s="10"/>
      <c r="G41" s="10"/>
      <c r="H41" s="10"/>
      <c r="I41" s="10"/>
      <c r="J41" s="10"/>
      <c r="K41" s="10"/>
      <c r="L41" s="10"/>
      <c r="M41" s="10"/>
      <c r="N41" s="5"/>
      <c r="O41" s="21"/>
    </row>
    <row r="42" spans="1:20" x14ac:dyDescent="0.35">
      <c r="B42" s="36" t="s">
        <v>81</v>
      </c>
      <c r="C42" s="10"/>
      <c r="D42" s="10"/>
      <c r="E42" s="10"/>
      <c r="F42" s="10"/>
      <c r="G42" s="10"/>
      <c r="H42" s="10"/>
      <c r="I42" s="10"/>
      <c r="J42" s="10"/>
      <c r="K42" s="10"/>
      <c r="L42" s="10"/>
      <c r="M42" s="10"/>
      <c r="N42" s="5"/>
      <c r="O42" s="21"/>
    </row>
    <row r="43" spans="1:20" x14ac:dyDescent="0.35">
      <c r="B43" s="36"/>
      <c r="C43" s="10"/>
      <c r="D43" s="10"/>
      <c r="E43" s="10"/>
      <c r="F43" s="10"/>
      <c r="G43" s="10"/>
      <c r="H43" s="10"/>
      <c r="I43" s="10"/>
      <c r="J43" s="10"/>
      <c r="K43" s="10"/>
      <c r="L43" s="10"/>
      <c r="M43" s="10"/>
      <c r="N43" s="5"/>
      <c r="O43" s="21"/>
    </row>
    <row r="44" spans="1:20" x14ac:dyDescent="0.35">
      <c r="B44" s="44" t="s">
        <v>58</v>
      </c>
      <c r="C44" s="38"/>
      <c r="D44" s="10"/>
      <c r="E44" s="10"/>
      <c r="F44" s="10"/>
      <c r="G44" s="10"/>
      <c r="H44" s="10"/>
      <c r="I44" s="10"/>
      <c r="J44" s="10"/>
      <c r="K44" s="10"/>
      <c r="L44" s="10"/>
      <c r="M44" s="10"/>
      <c r="N44" s="5"/>
      <c r="O44" s="21"/>
    </row>
    <row r="45" spans="1:20" ht="29" x14ac:dyDescent="0.35">
      <c r="B45" s="4" t="s">
        <v>59</v>
      </c>
      <c r="C45" s="39">
        <v>1062</v>
      </c>
      <c r="D45" s="21" t="s">
        <v>80</v>
      </c>
      <c r="E45" s="10"/>
      <c r="F45" s="10"/>
      <c r="G45" s="10"/>
      <c r="H45" s="10"/>
      <c r="I45" s="10"/>
      <c r="J45" s="10"/>
      <c r="K45" s="10"/>
      <c r="L45" s="10"/>
      <c r="M45" s="10"/>
      <c r="N45" s="5"/>
      <c r="O45" s="21"/>
    </row>
    <row r="46" spans="1:20" ht="29" x14ac:dyDescent="0.35">
      <c r="B46" s="4" t="s">
        <v>60</v>
      </c>
      <c r="C46" s="39">
        <f>73.2/117.6</f>
        <v>0.62244897959183676</v>
      </c>
      <c r="D46" s="21" t="s">
        <v>61</v>
      </c>
      <c r="E46" s="10"/>
      <c r="F46" s="10"/>
      <c r="G46" s="10"/>
      <c r="H46" s="10"/>
      <c r="I46" s="10"/>
      <c r="J46" s="10"/>
      <c r="K46" s="10"/>
      <c r="L46" s="10"/>
      <c r="M46" s="10"/>
      <c r="N46" s="5"/>
      <c r="O46" s="21"/>
    </row>
    <row r="47" spans="1:20" ht="43.5" x14ac:dyDescent="0.35">
      <c r="B47" s="4" t="s">
        <v>67</v>
      </c>
      <c r="C47" s="39">
        <v>1.4999999999999999E-2</v>
      </c>
      <c r="D47" s="21" t="s">
        <v>74</v>
      </c>
      <c r="E47" s="10"/>
      <c r="F47" s="10"/>
      <c r="G47" s="10"/>
      <c r="H47" s="10"/>
      <c r="I47" s="10"/>
      <c r="J47" s="10"/>
      <c r="K47" s="10"/>
      <c r="L47" s="10"/>
      <c r="M47" s="10"/>
      <c r="N47" s="5"/>
      <c r="O47" s="21"/>
    </row>
    <row r="48" spans="1:20" x14ac:dyDescent="0.35">
      <c r="B48" s="4" t="s">
        <v>56</v>
      </c>
      <c r="C48" s="39">
        <v>25</v>
      </c>
      <c r="D48" s="21" t="s">
        <v>75</v>
      </c>
      <c r="E48" s="10"/>
      <c r="F48" s="10"/>
      <c r="G48" s="10"/>
      <c r="H48" s="10"/>
      <c r="I48" s="10"/>
      <c r="J48" s="10"/>
      <c r="K48" s="10"/>
      <c r="L48" s="10"/>
      <c r="M48" s="10"/>
      <c r="N48" s="5"/>
      <c r="O48" s="21"/>
    </row>
    <row r="49" spans="2:15" x14ac:dyDescent="0.35">
      <c r="B49" s="4" t="s">
        <v>3</v>
      </c>
      <c r="C49" s="39">
        <v>0.1</v>
      </c>
      <c r="D49" s="10" t="s">
        <v>21</v>
      </c>
      <c r="E49" s="10"/>
      <c r="F49" s="10"/>
      <c r="G49" s="10"/>
      <c r="H49" s="10"/>
      <c r="I49" s="10"/>
      <c r="J49" s="10"/>
      <c r="K49" s="10"/>
      <c r="L49" s="10"/>
      <c r="M49" s="10"/>
      <c r="N49" s="5"/>
      <c r="O49" s="21"/>
    </row>
    <row r="50" spans="2:15" x14ac:dyDescent="0.35">
      <c r="B50" s="43" t="s">
        <v>4</v>
      </c>
      <c r="C50" s="40">
        <f>(C49*(1+C49)^C48)/((1+C49)^C48-1)</f>
        <v>0.11016807219002084</v>
      </c>
      <c r="D50" s="10" t="s">
        <v>10</v>
      </c>
      <c r="E50" s="10"/>
      <c r="F50" s="10"/>
      <c r="G50" s="10"/>
      <c r="H50" s="10"/>
      <c r="I50" s="10"/>
      <c r="J50" s="10"/>
      <c r="K50" s="10"/>
      <c r="L50" s="10"/>
      <c r="M50" s="10"/>
      <c r="N50" s="5"/>
      <c r="O50" s="21"/>
    </row>
    <row r="51" spans="2:15" x14ac:dyDescent="0.35">
      <c r="B51" s="36"/>
      <c r="C51" s="10"/>
      <c r="D51" s="10"/>
      <c r="E51" s="10"/>
      <c r="F51" s="10"/>
      <c r="G51" s="10"/>
      <c r="H51" s="10"/>
      <c r="I51" s="10"/>
      <c r="J51" s="10"/>
      <c r="K51" s="10"/>
      <c r="L51" s="10"/>
      <c r="M51" s="10"/>
      <c r="N51" s="5"/>
      <c r="O51" s="21"/>
    </row>
    <row r="52" spans="2:15" ht="58" x14ac:dyDescent="0.35">
      <c r="B52" s="45" t="s">
        <v>11</v>
      </c>
      <c r="C52" s="46" t="s">
        <v>65</v>
      </c>
      <c r="D52" s="46" t="s">
        <v>66</v>
      </c>
      <c r="E52" s="46" t="s">
        <v>69</v>
      </c>
      <c r="F52" s="46" t="s">
        <v>68</v>
      </c>
      <c r="G52" s="46" t="s">
        <v>70</v>
      </c>
      <c r="H52" s="46" t="s">
        <v>71</v>
      </c>
      <c r="I52" s="46" t="s">
        <v>24</v>
      </c>
      <c r="J52" s="47"/>
      <c r="K52" s="47"/>
      <c r="L52" s="47"/>
      <c r="M52" s="48" t="s">
        <v>27</v>
      </c>
      <c r="N52" s="49" t="s">
        <v>51</v>
      </c>
      <c r="O52" s="52"/>
    </row>
    <row r="53" spans="2:15" x14ac:dyDescent="0.35">
      <c r="B53" s="36" t="s">
        <v>63</v>
      </c>
      <c r="C53" s="10">
        <f>$C$45*$C$4*$C$46*$C$6</f>
        <v>190299.6289424861</v>
      </c>
      <c r="D53" s="10">
        <f>C53*$C$50</f>
        <v>20964.943259069987</v>
      </c>
      <c r="E53" s="10">
        <f>C53*$C$47</f>
        <v>2854.4944341372916</v>
      </c>
      <c r="F53" s="10">
        <f>D53+E53</f>
        <v>23819.437693207277</v>
      </c>
      <c r="G53" s="10">
        <f>K19</f>
        <v>61868.875215428707</v>
      </c>
      <c r="H53" s="10">
        <f>G53+F53</f>
        <v>85688.312908635984</v>
      </c>
      <c r="I53" s="10">
        <f>I19</f>
        <v>57302.193433824017</v>
      </c>
      <c r="J53" s="10"/>
      <c r="K53" s="10"/>
      <c r="L53" s="10"/>
      <c r="M53" s="10">
        <f>H53/I53</f>
        <v>1.4953757923349644</v>
      </c>
      <c r="N53" s="5">
        <f>ROUND(M53,2)</f>
        <v>1.5</v>
      </c>
      <c r="O53" s="21"/>
    </row>
    <row r="54" spans="2:15" ht="15" thickBot="1" x14ac:dyDescent="0.4">
      <c r="B54" s="11" t="s">
        <v>64</v>
      </c>
      <c r="C54" s="18">
        <f>$C$45*$C$4*$C$46*$C$6</f>
        <v>190299.6289424861</v>
      </c>
      <c r="D54" s="18">
        <f>C54*$C$50</f>
        <v>20964.943259069987</v>
      </c>
      <c r="E54" s="18">
        <f>C54*$C$47</f>
        <v>2854.4944341372916</v>
      </c>
      <c r="F54" s="18">
        <f>D54+E54</f>
        <v>23819.437693207277</v>
      </c>
      <c r="G54" s="18">
        <f>K21</f>
        <v>40330.658494813775</v>
      </c>
      <c r="H54" s="18">
        <f>G54+F54</f>
        <v>64150.096188021053</v>
      </c>
      <c r="I54" s="18">
        <f>I21</f>
        <v>57302.193433824017</v>
      </c>
      <c r="J54" s="18"/>
      <c r="K54" s="18"/>
      <c r="L54" s="18"/>
      <c r="M54" s="18">
        <f>H54/I54</f>
        <v>1.1195050720371709</v>
      </c>
      <c r="N54" s="7">
        <f>ROUND(M54,2)</f>
        <v>1.1200000000000001</v>
      </c>
      <c r="O54" s="21"/>
    </row>
    <row r="55" spans="2:15" x14ac:dyDescent="0.35">
      <c r="C55" s="10"/>
    </row>
    <row r="56" spans="2:15" x14ac:dyDescent="0.35">
      <c r="B56" t="s">
        <v>72</v>
      </c>
      <c r="C56" s="10"/>
    </row>
    <row r="57" spans="2:15" x14ac:dyDescent="0.35">
      <c r="B57" s="37" t="s">
        <v>62</v>
      </c>
      <c r="C57" s="21">
        <v>0.2</v>
      </c>
      <c r="D57" s="21" t="s">
        <v>73</v>
      </c>
      <c r="I57" s="21"/>
      <c r="J57" s="21"/>
    </row>
    <row r="58" spans="2:15" x14ac:dyDescent="0.35">
      <c r="D58" t="s">
        <v>77</v>
      </c>
    </row>
    <row r="59" spans="2:15" x14ac:dyDescent="0.35">
      <c r="B59" t="s">
        <v>78</v>
      </c>
      <c r="C59">
        <v>0.6</v>
      </c>
      <c r="D59" t="s">
        <v>82</v>
      </c>
    </row>
  </sheetData>
  <hyperlinks>
    <hyperlink ref="D11" r:id="rId1" xr:uid="{6CE10C64-3266-47C8-A9A0-EF18132F6EEB}"/>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process heat technologies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Speizer, Simone A</dc:creator>
  <cp:lastModifiedBy>Speizer, Simone A</cp:lastModifiedBy>
  <dcterms:created xsi:type="dcterms:W3CDTF">2023-06-21T15:48:46Z</dcterms:created>
  <dcterms:modified xsi:type="dcterms:W3CDTF">2023-07-27T18:46:52Z</dcterms:modified>
</cp:coreProperties>
</file>