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C:\Users\spei632\Documents\GCAM_industry\food_processing\"/>
    </mc:Choice>
  </mc:AlternateContent>
  <xr:revisionPtr revIDLastSave="0" documentId="13_ncr:1_{9E605BA2-012A-446A-8F25-9BEFA26846E4}" xr6:coauthVersionLast="47" xr6:coauthVersionMax="47" xr10:uidLastSave="{00000000-0000-0000-0000-000000000000}"/>
  <bookViews>
    <workbookView xWindow="4300" yWindow="-20360" windowWidth="22170" windowHeight="17450" xr2:uid="{34AE4EF8-B5B7-475C-B9E2-D77ABC490651}"/>
  </bookViews>
  <sheets>
    <sheet name="process heat technologies"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50" i="1" l="1"/>
  <c r="C46" i="1"/>
  <c r="C4" i="1"/>
  <c r="C54" i="1" l="1"/>
  <c r="E54" i="1" s="1"/>
  <c r="C53" i="1"/>
  <c r="C3" i="1"/>
  <c r="H22" i="1" s="1"/>
  <c r="C5" i="1"/>
  <c r="C8" i="1"/>
  <c r="C15" i="1"/>
  <c r="D54" i="1" l="1"/>
  <c r="F54" i="1" s="1"/>
  <c r="E53" i="1"/>
  <c r="D53" i="1"/>
  <c r="I22" i="1"/>
  <c r="J22" i="1" s="1"/>
  <c r="I20" i="1"/>
  <c r="I21" i="1"/>
  <c r="I54" i="1" s="1"/>
  <c r="I19" i="1"/>
  <c r="I53" i="1" s="1"/>
  <c r="D19" i="1"/>
  <c r="E19" i="1" s="1"/>
  <c r="F19" i="1" s="1"/>
  <c r="D20" i="1"/>
  <c r="E20" i="1" s="1"/>
  <c r="F20" i="1" s="1"/>
  <c r="D21" i="1"/>
  <c r="E21" i="1" s="1"/>
  <c r="F21" i="1" s="1"/>
  <c r="D22" i="1"/>
  <c r="E22" i="1" s="1"/>
  <c r="F22" i="1" s="1"/>
  <c r="H19" i="1"/>
  <c r="H20" i="1"/>
  <c r="H21" i="1"/>
  <c r="F53" i="1" l="1"/>
  <c r="J21" i="1"/>
  <c r="K21" i="1" s="1"/>
  <c r="J20" i="1"/>
  <c r="K20" i="1" s="1"/>
  <c r="M20" i="1" s="1"/>
  <c r="N20" i="1" s="1"/>
  <c r="J19" i="1"/>
  <c r="K19" i="1" s="1"/>
  <c r="K22" i="1"/>
  <c r="M22" i="1" s="1"/>
  <c r="N22" i="1" s="1"/>
  <c r="M19" i="1" l="1"/>
  <c r="M28" i="1" s="1"/>
  <c r="N28" i="1" s="1"/>
  <c r="G53" i="1"/>
  <c r="H53" i="1" s="1"/>
  <c r="M53" i="1" s="1"/>
  <c r="N53" i="1" s="1"/>
  <c r="M21" i="1"/>
  <c r="N21" i="1" s="1"/>
  <c r="G54" i="1"/>
  <c r="H54" i="1" s="1"/>
  <c r="M54" i="1" s="1"/>
  <c r="N54" i="1" s="1"/>
  <c r="M30" i="1"/>
  <c r="N30" i="1" s="1"/>
  <c r="M25" i="1" l="1"/>
  <c r="N25" i="1" s="1"/>
  <c r="M26" i="1"/>
  <c r="M31" i="1" s="1"/>
  <c r="N31" i="1" s="1"/>
  <c r="M27" i="1"/>
  <c r="M32" i="1" s="1"/>
  <c r="N32" i="1" s="1"/>
  <c r="N19" i="1"/>
  <c r="N27" i="1" l="1"/>
  <c r="N26" i="1"/>
</calcChain>
</file>

<file path=xl/sharedStrings.xml><?xml version="1.0" encoding="utf-8"?>
<sst xmlns="http://schemas.openxmlformats.org/spreadsheetml/2006/main" count="102" uniqueCount="83">
  <si>
    <t>Constants</t>
  </si>
  <si>
    <t>https://data.worldbank.org/indicator/NY.GDP.DEFL.ZS (for the US)</t>
  </si>
  <si>
    <t>Assumptions</t>
  </si>
  <si>
    <t>Discount rate</t>
  </si>
  <si>
    <t>Fixed charge rate</t>
  </si>
  <si>
    <t>Capacity factor of food processing boilers (US value)</t>
  </si>
  <si>
    <t>Average food processing boiler capacity (US value, MMBtu/hr)</t>
  </si>
  <si>
    <t>Boiler lifetime (years)</t>
  </si>
  <si>
    <t>https://www.energy.gov/sites/prod/files/2013/11/f4/characterization_industrial_commerical_boiler_population.pdf</t>
  </si>
  <si>
    <t>https://www.tpctraining.com/blogs/news/how-to-extend-boiler-life, https://www.mdpi.com/1996-1073/11/10/2630/htm, https://iea-etsap.org/E-TechDS/PDF/I01-ind_boilers-GS-AD-gct.pdf</t>
  </si>
  <si>
    <t>Calculated from discount rate and lifetime</t>
  </si>
  <si>
    <t>technology</t>
  </si>
  <si>
    <t>CAPEX (1975$/kW)</t>
  </si>
  <si>
    <t>natural gas steam boiler</t>
  </si>
  <si>
    <t>electric boiler</t>
  </si>
  <si>
    <t>electric heat pump (100-180 deg C)</t>
  </si>
  <si>
    <t>MWh to GJ</t>
  </si>
  <si>
    <t>O&amp;M (1975$/GJ)</t>
  </si>
  <si>
    <t>total CAPEX (1975$)</t>
  </si>
  <si>
    <t>MW to kW</t>
  </si>
  <si>
    <t>MMBtu/hr to MW</t>
  </si>
  <si>
    <t>Assumption</t>
  </si>
  <si>
    <t>hours per year</t>
  </si>
  <si>
    <t>annual CAPEX (1975$/yr)</t>
  </si>
  <si>
    <t>annual output (GJ/yr)</t>
  </si>
  <si>
    <t>annual O&amp;M (1975$/yr)</t>
  </si>
  <si>
    <t>total annual cost (1975$/yr)</t>
  </si>
  <si>
    <t>levelized non-energy cost (1975$/GJ)</t>
  </si>
  <si>
    <t>Source</t>
  </si>
  <si>
    <t>refined liquids cogen</t>
  </si>
  <si>
    <t>coal cogen</t>
  </si>
  <si>
    <t>Base calculations</t>
  </si>
  <si>
    <t>https://www.eeca.govt.nz/insights/eeca-insights/biomass-boilers-for-industrial-process-heat/</t>
  </si>
  <si>
    <t>refined liquids boiler</t>
  </si>
  <si>
    <t>coal boiler</t>
  </si>
  <si>
    <t>biomass boiler</t>
  </si>
  <si>
    <t>biomass cogen</t>
  </si>
  <si>
    <t>assume the same levelized non-energy costs as for natural gas boilers, based on the estimates in the source at right</t>
  </si>
  <si>
    <t>assume a 2.5x increase in levelized non-energy costs relative to natural gas boilers, based on the estimates in the source at right</t>
  </si>
  <si>
    <t>natural gas cogen</t>
  </si>
  <si>
    <t>assume same percentage increase in levelized non-energy costs as for natural gas boilers with cogen</t>
  </si>
  <si>
    <t>multiplier on natural gas boiler costs</t>
  </si>
  <si>
    <t>Other carbon-based fuel technologies</t>
  </si>
  <si>
    <t>Solar thermal</t>
  </si>
  <si>
    <t>heat (district heat)</t>
  </si>
  <si>
    <t>assume the same levelized non-energy costs as for natural gas boilers</t>
  </si>
  <si>
    <t>(placeholder, doesn't affect final values), https://www.energy.gov/sites/prod/files/2013/11/f4/characterization_industrial_commerical_boiler_population.pdf</t>
  </si>
  <si>
    <t>2021 USD to 1975 USD</t>
  </si>
  <si>
    <t>CAPEX (2021$/kW)</t>
  </si>
  <si>
    <t>O&amp;M (2021$/MWh)</t>
  </si>
  <si>
    <t>Agora Industry, FutureCamp Climate, and Wuppertal Institute, “Power-2-Heat: Direct Electrification of
Industrial Process Heat - Calculator for Estimating Transformation Costs,” 2022 - via Rissman 2022, https://energyinnovation.org/wp-content/uploads/2022/10/Decarbonizing-Low-Temperature-Industrial-Heat-In-The-U.S.-Report-2.pdf</t>
  </si>
  <si>
    <t>rounded</t>
  </si>
  <si>
    <t>We assume that solar thermal units are integrated alongside other technologies, as solar thermal systems are not likely to be able to supply all the necessary industrial process heat demand (even with storage) due to variation in solar radiation intensity.</t>
  </si>
  <si>
    <t>The solar thermal unit will displace some of the energy that would have otherwise been produced by the other fuel source, but the total annual output of the combined system will be the same.</t>
  </si>
  <si>
    <t>Thus, we can obtain the costs of systems combining other technologies + solar thermal as the sum of the annual CAPEX and OPEX for the other technologies and the annual CAPEX and OPEX of the solar thermal systems, and divide by the total annual output (same assumption) to get levelized costs.</t>
  </si>
  <si>
    <t>2014 USD to 1975 USD</t>
  </si>
  <si>
    <t>Lifetime (years)</t>
  </si>
  <si>
    <t>General assumptions</t>
  </si>
  <si>
    <t>Parameter assumptions</t>
  </si>
  <si>
    <t>Total investment cost (2014$/kW)</t>
  </si>
  <si>
    <t>Installed capacity (MW)</t>
  </si>
  <si>
    <t>Average installed capacity of solar industrial process heat installations in the food processing sector from Figure 9 in https://www.sciencedirect.com/science/article/pii/S0360544220311907 (derived from data at http://ship-plants.info/)</t>
  </si>
  <si>
    <t>Solar fraction</t>
  </si>
  <si>
    <t>gas + solar</t>
  </si>
  <si>
    <t>electric + solar</t>
  </si>
  <si>
    <t>total solar CAPEX (1975$)</t>
  </si>
  <si>
    <t>annual solar CAPEX (1975$/yr)</t>
  </si>
  <si>
    <t>Annual OPEX costs (fraction of total CAPEX costs)</t>
  </si>
  <si>
    <t>total annual solar costs (1975$/yr)</t>
  </si>
  <si>
    <t>annual solar OPEX (1975$/yr)</t>
  </si>
  <si>
    <t>total annual base technology costs (1975$/yr)</t>
  </si>
  <si>
    <t>total combined system costs (1975$/yr)</t>
  </si>
  <si>
    <t>Other solar thermal assumptions</t>
  </si>
  <si>
    <t>Defined as the fraction of the total industrial heat thermal load provided by the solar thermal system. Reported values range from 0.14-0.60 depending on the type of solar collector (and location), but most estimates tend to be around 0.2-0.3.</t>
  </si>
  <si>
    <t xml:space="preserve">Values range from 1-5% in http://proceedings.ises.org/paper/swc2019/swc2019-0057-Lemos.pdf, https://www.sciencedirect.com/science/article/pii/S0306261917312217, https://www.mdpi.com/1996-1073/10/3/383, https://www.sciencedirect.com/science/article/pii/S0306261917317798, https://www.sciencedirect.com/science/article/pii/S2213138817302412   </t>
  </si>
  <si>
    <t xml:space="preserve">Values range from 15-30 years in https://www.sciencedirect.com/science/article/pii/S2213138817302412, http://proceedings.ises.org/paper/swc2019/swc2019-0056-Kurup.pdf, https://www.sciencedirect.com/science/article/pii/S0306261917317798, https://www.sciencedirect.com/science/article/pii/S019689041500967X, https://www.mdpi.com/1996-1073/10/3/383, http://proceedings.ises.org/paper/swc2019/swc2019-0057-Lemos.pdf  </t>
  </si>
  <si>
    <t>We further assume that the installation of a solar thermal unit would not affect the selected installed capacity of the other technology (e.g., boiler), as when the solar thermal unit is not able to operate (such as on a rainy or cloudy day) and all the storage has been exhausted, the same maximum power will be required.</t>
  </si>
  <si>
    <t>Sources: https://www.sciencedirect.com/science/article/pii/S0306261917312217 (0.41), https://www.sciencedirect.com/science/article/pii/S2213138817302412 (0.16-0.33 but most around 0.23-0.25), https://www.irena.org/-/media/Files/IRENA/Agency/Publication/2015/IRENA_ETSAP_Tech_Brief_E21_Solar_Heat_Industrial_2015.pdf?rev=8ac12a0d56b74c27b440f90919f5c7a0  (0.1-0.2), https://www.sciencedirect.com/science/article/pii/S0306261917317798 (0.3-0.7), http://proceedings.ises.org/paper/swc2019/swc2019-0056-Kurup.pdf (0.6), https://www.nrel.gov/docs/fy21osti/77760.pdf</t>
  </si>
  <si>
    <t>Solar efficiency</t>
  </si>
  <si>
    <t>Most process heat demands in the food processing sector are for relatively low temperature heat (&lt;120 degrees C); however, some processes, such as drying and sterilization, require higher temperatures (sources: https://www.sciencedirect.com/science/article/pii/S0360544220311907 Figure 5, https://www.irena.org/-/media/Files/IRENA/Agency/Publication/2015/IRENA_ETSAP_Tech_Brief_E21_Solar_Heat_Industrial_2015.pdf?rev=8ac12a0d56b74c27b440f90919f5c7a0 Table 1, https://www.sciencedirect.com/science/article/pii/S0360544218305759)</t>
  </si>
  <si>
    <t>Median value for parabolic trough collector for industrial process heat &gt;400m^2 in gross area from Figure 3 in https://www.sciencedirect.com/science/article/pii/S0360544220311907 (derived from data at http://ship-plants.info/)</t>
  </si>
  <si>
    <t>For a conservative estimate, we will use the higher costs associated with parabolic trough collectors (PTCs) which are capable of producing medium to high temperature heat as well as low temperature heat and have been considered in some previous work as technologies for food processing sector heat generation (e.g., https://www.sciencedirect.com/science/article/pii/S2213138817302412)</t>
  </si>
  <si>
    <t>Sources: based on the range as a function of temperature for parabolic trough collectors from appendices of "Renewable Energy Options for Industrial Process Heat", https://arena.gov.au/assets/2019/11/appendices-renewable-energy-options-for-industrial-process-heat.pdf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</si>
</sst>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u/>
      <sz val="11"/>
      <color theme="10"/>
      <name val="Calibri"/>
      <family val="2"/>
      <scheme val="minor"/>
    </font>
  </fonts>
  <fills count="5">
    <fill>
      <patternFill patternType="none"/>
    </fill>
    <fill>
      <patternFill patternType="gray125"/>
    </fill>
    <fill>
      <patternFill patternType="solid">
        <fgColor theme="5" tint="0.79998168889431442"/>
        <bgColor indexed="64"/>
      </patternFill>
    </fill>
    <fill>
      <patternFill patternType="solid">
        <fgColor theme="0" tint="-4.9989318521683403E-2"/>
        <bgColor indexed="64"/>
      </patternFill>
    </fill>
    <fill>
      <patternFill patternType="solid">
        <fgColor theme="9" tint="0.79998168889431442"/>
        <bgColor indexed="64"/>
      </patternFill>
    </fill>
  </fills>
  <borders count="16">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medium">
        <color indexed="64"/>
      </left>
      <right/>
      <top style="thin">
        <color indexed="64"/>
      </top>
      <bottom/>
      <diagonal/>
    </border>
    <border>
      <left style="medium">
        <color indexed="64"/>
      </left>
      <right/>
      <top/>
      <bottom style="thin">
        <color indexed="64"/>
      </bottom>
      <diagonal/>
    </border>
    <border>
      <left/>
      <right/>
      <top style="thin">
        <color indexed="64"/>
      </top>
      <bottom/>
      <diagonal/>
    </border>
    <border>
      <left/>
      <right style="medium">
        <color indexed="64"/>
      </right>
      <top style="thin">
        <color indexed="64"/>
      </top>
      <bottom/>
      <diagonal/>
    </border>
  </borders>
  <cellStyleXfs count="2">
    <xf numFmtId="0" fontId="0" fillId="0" borderId="0"/>
    <xf numFmtId="0" fontId="2" fillId="0" borderId="0" applyNumberFormat="0" applyFill="0" applyBorder="0" applyAlignment="0" applyProtection="0"/>
  </cellStyleXfs>
  <cellXfs count="52">
    <xf numFmtId="0" fontId="0" fillId="0" borderId="0" xfId="0"/>
    <xf numFmtId="0" fontId="0" fillId="0" borderId="0" xfId="0" applyAlignment="1">
      <alignment wrapText="1"/>
    </xf>
    <xf numFmtId="0" fontId="1" fillId="0" borderId="1" xfId="0" applyFont="1" applyBorder="1"/>
    <xf numFmtId="0" fontId="0" fillId="0" borderId="2" xfId="0" applyBorder="1"/>
    <xf numFmtId="0" fontId="0" fillId="0" borderId="3" xfId="0" applyBorder="1" applyAlignment="1">
      <alignment wrapText="1"/>
    </xf>
    <xf numFmtId="0" fontId="0" fillId="0" borderId="4" xfId="0" applyBorder="1"/>
    <xf numFmtId="0" fontId="0" fillId="0" borderId="5" xfId="0" applyBorder="1" applyAlignment="1">
      <alignment wrapText="1"/>
    </xf>
    <xf numFmtId="0" fontId="0" fillId="0" borderId="6" xfId="0" applyBorder="1"/>
    <xf numFmtId="0" fontId="1" fillId="0" borderId="1" xfId="0" applyFont="1" applyFill="1" applyBorder="1" applyAlignment="1">
      <alignment wrapText="1"/>
    </xf>
    <xf numFmtId="0" fontId="2" fillId="0" borderId="0" xfId="1"/>
    <xf numFmtId="0" fontId="0" fillId="0" borderId="0" xfId="0" applyBorder="1"/>
    <xf numFmtId="0" fontId="0" fillId="0" borderId="5" xfId="0" applyBorder="1"/>
    <xf numFmtId="0" fontId="1" fillId="0" borderId="0" xfId="0" applyFont="1" applyAlignment="1">
      <alignment wrapText="1"/>
    </xf>
    <xf numFmtId="0" fontId="0" fillId="0" borderId="7" xfId="0" applyBorder="1"/>
    <xf numFmtId="0" fontId="1" fillId="0" borderId="3" xfId="0" applyFont="1" applyFill="1" applyBorder="1" applyAlignment="1">
      <alignment wrapText="1"/>
    </xf>
    <xf numFmtId="0" fontId="1" fillId="0" borderId="0" xfId="0" applyFont="1" applyBorder="1" applyAlignment="1">
      <alignment wrapText="1"/>
    </xf>
    <xf numFmtId="0" fontId="0" fillId="0" borderId="3" xfId="0" applyFill="1" applyBorder="1" applyAlignment="1">
      <alignment wrapText="1"/>
    </xf>
    <xf numFmtId="0" fontId="0" fillId="0" borderId="5" xfId="0" applyFill="1" applyBorder="1" applyAlignment="1">
      <alignment wrapText="1"/>
    </xf>
    <xf numFmtId="0" fontId="0" fillId="0" borderId="8" xfId="0" applyBorder="1"/>
    <xf numFmtId="0" fontId="0" fillId="0" borderId="3" xfId="0" applyFont="1" applyBorder="1"/>
    <xf numFmtId="0" fontId="0" fillId="0" borderId="5" xfId="0" applyFont="1" applyBorder="1"/>
    <xf numFmtId="0" fontId="0" fillId="0" borderId="0" xfId="0" applyFill="1" applyBorder="1"/>
    <xf numFmtId="0" fontId="1" fillId="0" borderId="7" xfId="0" applyFont="1" applyBorder="1" applyAlignment="1">
      <alignment wrapText="1"/>
    </xf>
    <xf numFmtId="0" fontId="0" fillId="0" borderId="0" xfId="0" applyFill="1"/>
    <xf numFmtId="0" fontId="0" fillId="2" borderId="0" xfId="0" applyFill="1" applyBorder="1"/>
    <xf numFmtId="0" fontId="0" fillId="2" borderId="8" xfId="0" applyFill="1" applyBorder="1"/>
    <xf numFmtId="0" fontId="1" fillId="3" borderId="4" xfId="0" applyFont="1" applyFill="1" applyBorder="1" applyAlignment="1">
      <alignment wrapText="1"/>
    </xf>
    <xf numFmtId="0" fontId="0" fillId="3" borderId="4" xfId="0" applyFill="1" applyBorder="1"/>
    <xf numFmtId="0" fontId="0" fillId="3" borderId="6" xfId="0" applyFill="1" applyBorder="1"/>
    <xf numFmtId="0" fontId="1" fillId="3" borderId="2" xfId="0" applyFont="1" applyFill="1" applyBorder="1" applyAlignment="1">
      <alignment wrapText="1"/>
    </xf>
    <xf numFmtId="0" fontId="0" fillId="2" borderId="0" xfId="0" applyFill="1" applyAlignment="1"/>
    <xf numFmtId="0" fontId="1" fillId="3" borderId="0" xfId="0" applyFont="1" applyFill="1" applyBorder="1" applyAlignment="1">
      <alignment wrapText="1"/>
    </xf>
    <xf numFmtId="0" fontId="0" fillId="3" borderId="0" xfId="0" applyFill="1" applyBorder="1"/>
    <xf numFmtId="0" fontId="0" fillId="3" borderId="8" xfId="0" applyFill="1" applyBorder="1"/>
    <xf numFmtId="0" fontId="1" fillId="3" borderId="7" xfId="0" applyFont="1" applyFill="1" applyBorder="1" applyAlignment="1">
      <alignment wrapText="1"/>
    </xf>
    <xf numFmtId="0" fontId="1" fillId="0" borderId="3" xfId="0" applyFont="1" applyBorder="1"/>
    <xf numFmtId="0" fontId="0" fillId="0" borderId="3" xfId="0" applyBorder="1"/>
    <xf numFmtId="0" fontId="0" fillId="0" borderId="0" xfId="0" applyFill="1" applyBorder="1" applyAlignment="1">
      <alignment wrapText="1"/>
    </xf>
    <xf numFmtId="0" fontId="0" fillId="0" borderId="9" xfId="0" applyBorder="1"/>
    <xf numFmtId="0" fontId="0" fillId="0" borderId="10" xfId="0" applyBorder="1"/>
    <xf numFmtId="0" fontId="0" fillId="0" borderId="11" xfId="0" applyBorder="1"/>
    <xf numFmtId="0" fontId="0" fillId="0" borderId="8" xfId="0" applyFont="1" applyBorder="1"/>
    <xf numFmtId="0" fontId="0" fillId="0" borderId="8" xfId="0" applyFill="1" applyBorder="1"/>
    <xf numFmtId="0" fontId="0" fillId="0" borderId="13" xfId="0" applyBorder="1" applyAlignment="1">
      <alignment wrapText="1"/>
    </xf>
    <xf numFmtId="0" fontId="1" fillId="0" borderId="12" xfId="0" applyFont="1" applyBorder="1"/>
    <xf numFmtId="0" fontId="1" fillId="0" borderId="12" xfId="0" applyFont="1" applyBorder="1" applyAlignment="1">
      <alignment wrapText="1"/>
    </xf>
    <xf numFmtId="0" fontId="1" fillId="0" borderId="14" xfId="0" applyFont="1" applyBorder="1" applyAlignment="1">
      <alignment wrapText="1"/>
    </xf>
    <xf numFmtId="0" fontId="0" fillId="0" borderId="14" xfId="0" applyBorder="1" applyAlignment="1">
      <alignment wrapText="1"/>
    </xf>
    <xf numFmtId="0" fontId="1" fillId="3" borderId="14" xfId="0" applyFont="1" applyFill="1" applyBorder="1" applyAlignment="1">
      <alignment wrapText="1"/>
    </xf>
    <xf numFmtId="0" fontId="1" fillId="3" borderId="15" xfId="0" applyFont="1" applyFill="1" applyBorder="1" applyAlignment="1">
      <alignment wrapText="1"/>
    </xf>
    <xf numFmtId="0" fontId="0" fillId="4" borderId="0" xfId="0" applyFill="1" applyBorder="1"/>
    <xf numFmtId="0" fontId="0" fillId="4" borderId="0" xfId="0" applyFill="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energy.gov/sites/prod/files/2013/11/f4/characterization_industrial_commerical_boiler_population.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0F238C-106E-4388-8591-908DEC2A4380}">
  <dimension ref="A1:S59"/>
  <sheetViews>
    <sheetView tabSelected="1" topLeftCell="A31" zoomScaleNormal="100" workbookViewId="0">
      <selection activeCell="E64" sqref="E64"/>
    </sheetView>
  </sheetViews>
  <sheetFormatPr defaultRowHeight="14.5" x14ac:dyDescent="0.35"/>
  <cols>
    <col min="2" max="2" width="20.08984375" customWidth="1"/>
    <col min="3" max="3" width="12.36328125" customWidth="1"/>
    <col min="4" max="4" width="12" customWidth="1"/>
    <col min="5" max="5" width="12.54296875" customWidth="1"/>
    <col min="6" max="6" width="12" customWidth="1"/>
    <col min="7" max="7" width="15.1796875" customWidth="1"/>
    <col min="8" max="8" width="11.6328125" customWidth="1"/>
    <col min="9" max="9" width="13.1796875" customWidth="1"/>
    <col min="10" max="10" width="12.453125" customWidth="1"/>
    <col min="11" max="11" width="13.7265625" customWidth="1"/>
    <col min="12" max="12" width="8.08984375" customWidth="1"/>
    <col min="13" max="14" width="13" customWidth="1"/>
  </cols>
  <sheetData>
    <row r="1" spans="2:6" ht="15" thickBot="1" x14ac:dyDescent="0.4"/>
    <row r="2" spans="2:6" x14ac:dyDescent="0.35">
      <c r="B2" s="2" t="s">
        <v>0</v>
      </c>
      <c r="C2" s="3"/>
    </row>
    <row r="3" spans="2:6" x14ac:dyDescent="0.35">
      <c r="B3" s="4" t="s">
        <v>47</v>
      </c>
      <c r="C3" s="5">
        <f>28.5 / 113.6</f>
        <v>0.25088028169014087</v>
      </c>
      <c r="D3" s="23" t="s">
        <v>1</v>
      </c>
      <c r="E3" s="9"/>
      <c r="F3" s="9"/>
    </row>
    <row r="4" spans="2:6" x14ac:dyDescent="0.35">
      <c r="B4" s="4" t="s">
        <v>55</v>
      </c>
      <c r="C4" s="5">
        <f>28.5 / 99</f>
        <v>0.2878787878787879</v>
      </c>
      <c r="D4" s="23" t="s">
        <v>1</v>
      </c>
      <c r="E4" s="9"/>
      <c r="F4" s="9"/>
    </row>
    <row r="5" spans="2:6" x14ac:dyDescent="0.35">
      <c r="B5" s="4" t="s">
        <v>22</v>
      </c>
      <c r="C5" s="5">
        <f>24*365</f>
        <v>8760</v>
      </c>
    </row>
    <row r="6" spans="2:6" x14ac:dyDescent="0.35">
      <c r="B6" s="4" t="s">
        <v>19</v>
      </c>
      <c r="C6" s="5">
        <v>1000</v>
      </c>
    </row>
    <row r="7" spans="2:6" x14ac:dyDescent="0.35">
      <c r="B7" s="4" t="s">
        <v>16</v>
      </c>
      <c r="C7" s="5">
        <v>3.6</v>
      </c>
    </row>
    <row r="8" spans="2:6" ht="15" thickBot="1" x14ac:dyDescent="0.4">
      <c r="B8" s="11" t="s">
        <v>20</v>
      </c>
      <c r="C8" s="7">
        <f>293.07107*10^-3</f>
        <v>0.29307107000000004</v>
      </c>
    </row>
    <row r="9" spans="2:6" ht="15" thickBot="1" x14ac:dyDescent="0.4"/>
    <row r="10" spans="2:6" x14ac:dyDescent="0.35">
      <c r="B10" s="8" t="s">
        <v>2</v>
      </c>
      <c r="C10" s="3"/>
    </row>
    <row r="11" spans="2:6" ht="43.5" x14ac:dyDescent="0.35">
      <c r="B11" s="4" t="s">
        <v>5</v>
      </c>
      <c r="C11" s="5">
        <v>0.31</v>
      </c>
      <c r="D11" s="9" t="s">
        <v>8</v>
      </c>
      <c r="E11" s="9"/>
      <c r="F11" s="9"/>
    </row>
    <row r="12" spans="2:6" ht="58" x14ac:dyDescent="0.35">
      <c r="B12" s="4" t="s">
        <v>6</v>
      </c>
      <c r="C12" s="5">
        <v>20</v>
      </c>
      <c r="D12" s="23" t="s">
        <v>46</v>
      </c>
      <c r="E12" s="9"/>
      <c r="F12" s="9"/>
    </row>
    <row r="13" spans="2:6" x14ac:dyDescent="0.35">
      <c r="B13" s="4" t="s">
        <v>7</v>
      </c>
      <c r="C13" s="5">
        <v>25</v>
      </c>
      <c r="D13" t="s">
        <v>9</v>
      </c>
    </row>
    <row r="14" spans="2:6" x14ac:dyDescent="0.35">
      <c r="B14" s="4" t="s">
        <v>3</v>
      </c>
      <c r="C14" s="5">
        <v>0.1</v>
      </c>
      <c r="D14" t="s">
        <v>21</v>
      </c>
    </row>
    <row r="15" spans="2:6" ht="15" thickBot="1" x14ac:dyDescent="0.4">
      <c r="B15" s="6" t="s">
        <v>4</v>
      </c>
      <c r="C15" s="7">
        <f>(C14*(1+C14)^C13)/((1+C14)^C13-1)</f>
        <v>0.11016807219002084</v>
      </c>
      <c r="D15" t="s">
        <v>10</v>
      </c>
    </row>
    <row r="16" spans="2:6" ht="15" thickBot="1" x14ac:dyDescent="0.4"/>
    <row r="17" spans="2:18" x14ac:dyDescent="0.35">
      <c r="B17" s="8" t="s">
        <v>31</v>
      </c>
      <c r="C17" s="13"/>
      <c r="D17" s="13"/>
      <c r="E17" s="13"/>
      <c r="F17" s="13"/>
      <c r="G17" s="13"/>
      <c r="H17" s="13"/>
      <c r="I17" s="13"/>
      <c r="J17" s="13"/>
      <c r="K17" s="13"/>
      <c r="L17" s="13"/>
      <c r="M17" s="13"/>
      <c r="N17" s="3"/>
    </row>
    <row r="18" spans="2:18" ht="43.5" x14ac:dyDescent="0.35">
      <c r="B18" s="14" t="s">
        <v>11</v>
      </c>
      <c r="C18" s="15" t="s">
        <v>48</v>
      </c>
      <c r="D18" s="15" t="s">
        <v>12</v>
      </c>
      <c r="E18" s="15" t="s">
        <v>18</v>
      </c>
      <c r="F18" s="15" t="s">
        <v>23</v>
      </c>
      <c r="G18" s="15" t="s">
        <v>49</v>
      </c>
      <c r="H18" s="15" t="s">
        <v>17</v>
      </c>
      <c r="I18" s="15" t="s">
        <v>24</v>
      </c>
      <c r="J18" s="15" t="s">
        <v>25</v>
      </c>
      <c r="K18" s="15" t="s">
        <v>26</v>
      </c>
      <c r="L18" s="15"/>
      <c r="M18" s="31" t="s">
        <v>27</v>
      </c>
      <c r="N18" s="26" t="s">
        <v>51</v>
      </c>
      <c r="O18" s="1"/>
      <c r="P18" s="12" t="s">
        <v>28</v>
      </c>
    </row>
    <row r="19" spans="2:18" ht="29" x14ac:dyDescent="0.35">
      <c r="B19" s="16" t="s">
        <v>13</v>
      </c>
      <c r="C19" s="24">
        <v>234</v>
      </c>
      <c r="D19" s="10">
        <f>C19*$C$3</f>
        <v>58.705985915492967</v>
      </c>
      <c r="E19" s="10">
        <f>D19*$C$12*$C$8*$C$6</f>
        <v>344100.52215316909</v>
      </c>
      <c r="F19" s="10">
        <f>E19*$C$15</f>
        <v>37908.891165194196</v>
      </c>
      <c r="G19" s="24">
        <v>6</v>
      </c>
      <c r="H19" s="10">
        <f>G19*$C$3/$C$7</f>
        <v>0.41813380281690143</v>
      </c>
      <c r="I19" s="10">
        <f>$C$12*$C$8*$C$5*$C$7*$C$11</f>
        <v>57302.193433824017</v>
      </c>
      <c r="J19" s="10">
        <f>H19*I19</f>
        <v>23959.984050234514</v>
      </c>
      <c r="K19" s="10">
        <f>J19+F19</f>
        <v>61868.875215428707</v>
      </c>
      <c r="L19" s="10"/>
      <c r="M19" s="32">
        <f>K19/I19</f>
        <v>1.0796947116322617</v>
      </c>
      <c r="N19" s="27">
        <f>ROUND(M19,2)</f>
        <v>1.08</v>
      </c>
      <c r="P19" s="30" t="s">
        <v>50</v>
      </c>
    </row>
    <row r="20" spans="2:18" x14ac:dyDescent="0.35">
      <c r="B20" s="16" t="s">
        <v>39</v>
      </c>
      <c r="C20" s="24">
        <v>900</v>
      </c>
      <c r="D20" s="10">
        <f t="shared" ref="D20:D22" si="0">C20*$C$3</f>
        <v>225.79225352112678</v>
      </c>
      <c r="E20" s="10">
        <f>D20*$C$12*$C$8*$C$6</f>
        <v>1323463.5467429582</v>
      </c>
      <c r="F20" s="10">
        <f t="shared" ref="F20:F22" si="1">E20*$C$15</f>
        <v>145803.42755843923</v>
      </c>
      <c r="G20" s="24">
        <v>3</v>
      </c>
      <c r="H20" s="10">
        <f>G20*$C$3/$C$7</f>
        <v>0.20906690140845072</v>
      </c>
      <c r="I20" s="10">
        <f>$C$12*$C$8*$C$5*$C$7*$C$11</f>
        <v>57302.193433824017</v>
      </c>
      <c r="J20" s="10">
        <f t="shared" ref="J20:J22" si="2">H20*I20</f>
        <v>11979.992025117257</v>
      </c>
      <c r="K20" s="10">
        <f>J20+F20</f>
        <v>157783.41958355648</v>
      </c>
      <c r="L20" s="10"/>
      <c r="M20" s="32">
        <f t="shared" ref="M20:M22" si="3">K20/I20</f>
        <v>2.7535319353136831</v>
      </c>
      <c r="N20" s="27">
        <f t="shared" ref="N20:N22" si="4">ROUND(M20,2)</f>
        <v>2.75</v>
      </c>
      <c r="P20" s="30" t="s">
        <v>50</v>
      </c>
    </row>
    <row r="21" spans="2:18" x14ac:dyDescent="0.35">
      <c r="B21" s="16" t="s">
        <v>14</v>
      </c>
      <c r="C21" s="24">
        <v>175</v>
      </c>
      <c r="D21" s="10">
        <f t="shared" si="0"/>
        <v>43.904049295774655</v>
      </c>
      <c r="E21" s="10">
        <f>D21*$C$12*$C$8*$C$6</f>
        <v>257340.13408890855</v>
      </c>
      <c r="F21" s="10">
        <f t="shared" si="1"/>
        <v>28350.66646969652</v>
      </c>
      <c r="G21" s="24">
        <v>3</v>
      </c>
      <c r="H21" s="10">
        <f>G21*$C$3/$C$7</f>
        <v>0.20906690140845072</v>
      </c>
      <c r="I21" s="10">
        <f>$C$12*$C$8*$C$5*$C$7*$C$11</f>
        <v>57302.193433824017</v>
      </c>
      <c r="J21" s="10">
        <f t="shared" si="2"/>
        <v>11979.992025117257</v>
      </c>
      <c r="K21" s="10">
        <f>J21+F21</f>
        <v>40330.658494813775</v>
      </c>
      <c r="L21" s="10"/>
      <c r="M21" s="32">
        <f t="shared" si="3"/>
        <v>0.70382399133446816</v>
      </c>
      <c r="N21" s="27">
        <f t="shared" si="4"/>
        <v>0.7</v>
      </c>
      <c r="P21" s="30" t="s">
        <v>50</v>
      </c>
    </row>
    <row r="22" spans="2:18" ht="29.5" thickBot="1" x14ac:dyDescent="0.4">
      <c r="B22" s="17" t="s">
        <v>15</v>
      </c>
      <c r="C22" s="25">
        <v>870</v>
      </c>
      <c r="D22" s="18">
        <f t="shared" si="0"/>
        <v>218.26584507042256</v>
      </c>
      <c r="E22" s="18">
        <f>D22*$C$12*$C$8*$C$6</f>
        <v>1279348.0951848596</v>
      </c>
      <c r="F22" s="18">
        <f t="shared" si="1"/>
        <v>140943.31330649127</v>
      </c>
      <c r="G22" s="25">
        <v>3</v>
      </c>
      <c r="H22" s="18">
        <f>G22*$C$3/$C$7</f>
        <v>0.20906690140845072</v>
      </c>
      <c r="I22" s="18">
        <f>$C$12*$C$8*$C$5*$C$7*$C$11</f>
        <v>57302.193433824017</v>
      </c>
      <c r="J22" s="18">
        <f t="shared" si="2"/>
        <v>11979.992025117257</v>
      </c>
      <c r="K22" s="18">
        <f>J22+F22</f>
        <v>152923.30533160851</v>
      </c>
      <c r="L22" s="18"/>
      <c r="M22" s="33">
        <f t="shared" si="3"/>
        <v>2.668716434183509</v>
      </c>
      <c r="N22" s="28">
        <f t="shared" si="4"/>
        <v>2.67</v>
      </c>
      <c r="P22" s="30" t="s">
        <v>50</v>
      </c>
    </row>
    <row r="23" spans="2:18" ht="15" thickBot="1" x14ac:dyDescent="0.4"/>
    <row r="24" spans="2:18" ht="43.5" x14ac:dyDescent="0.35">
      <c r="B24" s="8" t="s">
        <v>42</v>
      </c>
      <c r="C24" s="13"/>
      <c r="D24" s="13"/>
      <c r="E24" s="13"/>
      <c r="F24" s="13"/>
      <c r="G24" s="13"/>
      <c r="H24" s="13"/>
      <c r="I24" s="13"/>
      <c r="J24" s="13"/>
      <c r="K24" s="22" t="s">
        <v>41</v>
      </c>
      <c r="L24" s="22"/>
      <c r="M24" s="34" t="s">
        <v>27</v>
      </c>
      <c r="N24" s="29" t="s">
        <v>51</v>
      </c>
    </row>
    <row r="25" spans="2:18" x14ac:dyDescent="0.35">
      <c r="B25" s="19" t="s">
        <v>33</v>
      </c>
      <c r="C25" s="10" t="s">
        <v>37</v>
      </c>
      <c r="D25" s="10"/>
      <c r="E25" s="10"/>
      <c r="F25" s="10"/>
      <c r="G25" s="10"/>
      <c r="H25" s="10"/>
      <c r="I25" s="10"/>
      <c r="J25" s="10"/>
      <c r="K25" s="50">
        <v>1</v>
      </c>
      <c r="L25" s="10"/>
      <c r="M25" s="32">
        <f>$M$19*K25</f>
        <v>1.0796947116322617</v>
      </c>
      <c r="N25" s="27">
        <f t="shared" ref="N25:N28" si="5">ROUND(M25,2)</f>
        <v>1.08</v>
      </c>
      <c r="O25" s="10"/>
      <c r="P25" s="51" t="s">
        <v>32</v>
      </c>
      <c r="Q25" s="10"/>
      <c r="R25" s="10"/>
    </row>
    <row r="26" spans="2:18" x14ac:dyDescent="0.35">
      <c r="B26" s="19" t="s">
        <v>34</v>
      </c>
      <c r="C26" s="10" t="s">
        <v>38</v>
      </c>
      <c r="D26" s="10"/>
      <c r="E26" s="10"/>
      <c r="F26" s="10"/>
      <c r="G26" s="10"/>
      <c r="H26" s="10"/>
      <c r="I26" s="10"/>
      <c r="J26" s="10"/>
      <c r="K26" s="50">
        <v>2.5</v>
      </c>
      <c r="L26" s="10"/>
      <c r="M26" s="32">
        <f t="shared" ref="M26:M27" si="6">$M$19*K26</f>
        <v>2.6992367790806542</v>
      </c>
      <c r="N26" s="27">
        <f t="shared" si="5"/>
        <v>2.7</v>
      </c>
      <c r="O26" s="10"/>
      <c r="P26" s="50" t="s">
        <v>32</v>
      </c>
      <c r="Q26" s="10"/>
      <c r="R26" s="10"/>
    </row>
    <row r="27" spans="2:18" x14ac:dyDescent="0.35">
      <c r="B27" s="19" t="s">
        <v>35</v>
      </c>
      <c r="C27" s="10" t="s">
        <v>38</v>
      </c>
      <c r="D27" s="10"/>
      <c r="E27" s="10"/>
      <c r="F27" s="10"/>
      <c r="G27" s="10"/>
      <c r="H27" s="10"/>
      <c r="I27" s="10"/>
      <c r="J27" s="10"/>
      <c r="K27" s="50">
        <v>2.5</v>
      </c>
      <c r="L27" s="10"/>
      <c r="M27" s="32">
        <f t="shared" si="6"/>
        <v>2.6992367790806542</v>
      </c>
      <c r="N27" s="27">
        <f t="shared" si="5"/>
        <v>2.7</v>
      </c>
      <c r="O27" s="10"/>
      <c r="P27" s="50" t="s">
        <v>32</v>
      </c>
      <c r="Q27" s="10"/>
      <c r="R27" s="10"/>
    </row>
    <row r="28" spans="2:18" x14ac:dyDescent="0.35">
      <c r="B28" s="19" t="s">
        <v>44</v>
      </c>
      <c r="C28" s="21" t="s">
        <v>45</v>
      </c>
      <c r="D28" s="10"/>
      <c r="E28" s="10"/>
      <c r="F28" s="10"/>
      <c r="G28" s="10"/>
      <c r="H28" s="10"/>
      <c r="I28" s="10"/>
      <c r="J28" s="10"/>
      <c r="K28" s="21">
        <v>1</v>
      </c>
      <c r="L28" s="10"/>
      <c r="M28" s="32">
        <f>$M$19*K28</f>
        <v>1.0796947116322617</v>
      </c>
      <c r="N28" s="27">
        <f t="shared" si="5"/>
        <v>1.08</v>
      </c>
      <c r="O28" s="10"/>
      <c r="P28" s="10"/>
      <c r="Q28" s="10"/>
      <c r="R28" s="10"/>
    </row>
    <row r="29" spans="2:18" x14ac:dyDescent="0.35">
      <c r="B29" s="19"/>
      <c r="C29" s="10"/>
      <c r="D29" s="10"/>
      <c r="E29" s="10"/>
      <c r="F29" s="10"/>
      <c r="G29" s="10"/>
      <c r="H29" s="10"/>
      <c r="I29" s="10"/>
      <c r="J29" s="10"/>
      <c r="K29" s="10"/>
      <c r="L29" s="10"/>
      <c r="M29" s="32"/>
      <c r="N29" s="27"/>
      <c r="O29" s="10"/>
      <c r="P29" s="10"/>
      <c r="Q29" s="10"/>
      <c r="R29" s="10"/>
    </row>
    <row r="30" spans="2:18" x14ac:dyDescent="0.35">
      <c r="B30" s="19" t="s">
        <v>29</v>
      </c>
      <c r="C30" s="10" t="s">
        <v>40</v>
      </c>
      <c r="D30" s="10"/>
      <c r="E30" s="10"/>
      <c r="F30" s="10"/>
      <c r="G30" s="10"/>
      <c r="H30" s="10"/>
      <c r="I30" s="10"/>
      <c r="J30" s="10"/>
      <c r="K30" s="21"/>
      <c r="L30" s="21"/>
      <c r="M30" s="32">
        <f>M20</f>
        <v>2.7535319353136831</v>
      </c>
      <c r="N30" s="27">
        <f t="shared" ref="N30:N32" si="7">ROUND(M30,2)</f>
        <v>2.75</v>
      </c>
      <c r="O30" s="10"/>
      <c r="P30" s="10"/>
      <c r="Q30" s="10"/>
      <c r="R30" s="10"/>
    </row>
    <row r="31" spans="2:18" x14ac:dyDescent="0.35">
      <c r="B31" s="19" t="s">
        <v>30</v>
      </c>
      <c r="C31" s="10" t="s">
        <v>40</v>
      </c>
      <c r="D31" s="10"/>
      <c r="E31" s="10"/>
      <c r="F31" s="10"/>
      <c r="G31" s="10"/>
      <c r="H31" s="10"/>
      <c r="I31" s="10"/>
      <c r="J31" s="10"/>
      <c r="K31" s="21"/>
      <c r="L31" s="21"/>
      <c r="M31" s="32">
        <f>(1+(M20-M19)/M19)*M26</f>
        <v>6.8838298382842069</v>
      </c>
      <c r="N31" s="27">
        <f t="shared" si="7"/>
        <v>6.88</v>
      </c>
      <c r="O31" s="10"/>
      <c r="P31" s="10"/>
      <c r="Q31" s="10"/>
      <c r="R31" s="10"/>
    </row>
    <row r="32" spans="2:18" ht="15" thickBot="1" x14ac:dyDescent="0.4">
      <c r="B32" s="20" t="s">
        <v>36</v>
      </c>
      <c r="C32" s="18" t="s">
        <v>40</v>
      </c>
      <c r="D32" s="18"/>
      <c r="E32" s="18"/>
      <c r="F32" s="18"/>
      <c r="G32" s="18"/>
      <c r="H32" s="18"/>
      <c r="I32" s="18"/>
      <c r="J32" s="18"/>
      <c r="K32" s="18"/>
      <c r="L32" s="18"/>
      <c r="M32" s="33">
        <f>(1+(M20-M19)/M19)*M27</f>
        <v>6.8838298382842069</v>
      </c>
      <c r="N32" s="28">
        <f t="shared" si="7"/>
        <v>6.88</v>
      </c>
      <c r="O32" s="10"/>
      <c r="P32" s="10"/>
      <c r="Q32" s="10"/>
      <c r="R32" s="10"/>
    </row>
    <row r="33" spans="1:19" ht="15" thickBot="1" x14ac:dyDescent="0.4">
      <c r="A33" s="18"/>
      <c r="B33" s="41"/>
      <c r="C33" s="18"/>
      <c r="D33" s="18"/>
      <c r="E33" s="18"/>
      <c r="F33" s="18"/>
      <c r="G33" s="18"/>
      <c r="H33" s="18"/>
      <c r="I33" s="18"/>
      <c r="J33" s="18"/>
      <c r="K33" s="18"/>
      <c r="L33" s="18"/>
      <c r="M33" s="42"/>
      <c r="N33" s="42"/>
      <c r="O33" s="18"/>
      <c r="P33" s="18"/>
      <c r="Q33" s="18"/>
      <c r="R33" s="18"/>
      <c r="S33" s="18"/>
    </row>
    <row r="34" spans="1:19" ht="15" thickBot="1" x14ac:dyDescent="0.4"/>
    <row r="35" spans="1:19" x14ac:dyDescent="0.35">
      <c r="B35" s="2" t="s">
        <v>43</v>
      </c>
      <c r="C35" s="13"/>
      <c r="D35" s="13"/>
      <c r="E35" s="13"/>
      <c r="F35" s="13"/>
      <c r="G35" s="13"/>
      <c r="H35" s="13"/>
      <c r="I35" s="13"/>
      <c r="J35" s="13"/>
      <c r="K35" s="13"/>
      <c r="L35" s="13"/>
      <c r="M35" s="13"/>
      <c r="N35" s="3"/>
    </row>
    <row r="36" spans="1:19" x14ac:dyDescent="0.35">
      <c r="B36" s="35" t="s">
        <v>57</v>
      </c>
      <c r="C36" s="10"/>
      <c r="D36" s="10"/>
      <c r="E36" s="10"/>
      <c r="F36" s="10"/>
      <c r="G36" s="10"/>
      <c r="H36" s="10"/>
      <c r="I36" s="10"/>
      <c r="J36" s="10"/>
      <c r="K36" s="10"/>
      <c r="L36" s="10"/>
      <c r="M36" s="10"/>
      <c r="N36" s="5"/>
    </row>
    <row r="37" spans="1:19" x14ac:dyDescent="0.35">
      <c r="B37" s="36" t="s">
        <v>52</v>
      </c>
      <c r="C37" s="10"/>
      <c r="D37" s="10"/>
      <c r="E37" s="10"/>
      <c r="F37" s="10"/>
      <c r="G37" s="10"/>
      <c r="H37" s="10"/>
      <c r="I37" s="10"/>
      <c r="J37" s="10"/>
      <c r="K37" s="10"/>
      <c r="L37" s="10"/>
      <c r="M37" s="10"/>
      <c r="N37" s="5"/>
    </row>
    <row r="38" spans="1:19" x14ac:dyDescent="0.35">
      <c r="B38" s="36" t="s">
        <v>76</v>
      </c>
      <c r="C38" s="10"/>
      <c r="D38" s="10"/>
      <c r="E38" s="10"/>
      <c r="F38" s="10"/>
      <c r="G38" s="10"/>
      <c r="H38" s="10"/>
      <c r="I38" s="10"/>
      <c r="J38" s="10"/>
      <c r="K38" s="10"/>
      <c r="L38" s="10"/>
      <c r="M38" s="10"/>
      <c r="N38" s="5"/>
    </row>
    <row r="39" spans="1:19" x14ac:dyDescent="0.35">
      <c r="B39" s="36" t="s">
        <v>53</v>
      </c>
      <c r="C39" s="10"/>
      <c r="D39" s="10"/>
      <c r="E39" s="10"/>
      <c r="F39" s="10"/>
      <c r="G39" s="10"/>
      <c r="H39" s="10"/>
      <c r="I39" s="10"/>
      <c r="J39" s="10"/>
      <c r="K39" s="10"/>
      <c r="L39" s="10"/>
      <c r="M39" s="10"/>
      <c r="N39" s="5"/>
    </row>
    <row r="40" spans="1:19" x14ac:dyDescent="0.35">
      <c r="B40" s="36" t="s">
        <v>54</v>
      </c>
      <c r="C40" s="10"/>
      <c r="D40" s="10"/>
      <c r="E40" s="10"/>
      <c r="F40" s="10"/>
      <c r="G40" s="10"/>
      <c r="H40" s="10"/>
      <c r="I40" s="10"/>
      <c r="J40" s="10"/>
      <c r="K40" s="10"/>
      <c r="L40" s="10"/>
      <c r="M40" s="10"/>
      <c r="N40" s="5"/>
    </row>
    <row r="41" spans="1:19" x14ac:dyDescent="0.35">
      <c r="B41" s="36" t="s">
        <v>79</v>
      </c>
      <c r="C41" s="10"/>
      <c r="D41" s="10"/>
      <c r="E41" s="10"/>
      <c r="F41" s="10"/>
      <c r="G41" s="10"/>
      <c r="H41" s="10"/>
      <c r="I41" s="10"/>
      <c r="J41" s="10"/>
      <c r="K41" s="10"/>
      <c r="L41" s="10"/>
      <c r="M41" s="10"/>
      <c r="N41" s="5"/>
    </row>
    <row r="42" spans="1:19" x14ac:dyDescent="0.35">
      <c r="B42" s="36" t="s">
        <v>81</v>
      </c>
      <c r="C42" s="10"/>
      <c r="D42" s="10"/>
      <c r="E42" s="10"/>
      <c r="F42" s="10"/>
      <c r="G42" s="10"/>
      <c r="H42" s="10"/>
      <c r="I42" s="10"/>
      <c r="J42" s="10"/>
      <c r="K42" s="10"/>
      <c r="L42" s="10"/>
      <c r="M42" s="10"/>
      <c r="N42" s="5"/>
    </row>
    <row r="43" spans="1:19" x14ac:dyDescent="0.35">
      <c r="B43" s="36"/>
      <c r="C43" s="10"/>
      <c r="D43" s="10"/>
      <c r="E43" s="10"/>
      <c r="F43" s="10"/>
      <c r="G43" s="10"/>
      <c r="H43" s="10"/>
      <c r="I43" s="10"/>
      <c r="J43" s="10"/>
      <c r="K43" s="10"/>
      <c r="L43" s="10"/>
      <c r="M43" s="10"/>
      <c r="N43" s="5"/>
    </row>
    <row r="44" spans="1:19" x14ac:dyDescent="0.35">
      <c r="B44" s="44" t="s">
        <v>58</v>
      </c>
      <c r="C44" s="38"/>
      <c r="D44" s="10"/>
      <c r="E44" s="10"/>
      <c r="F44" s="10"/>
      <c r="G44" s="10"/>
      <c r="H44" s="10"/>
      <c r="I44" s="10"/>
      <c r="J44" s="10"/>
      <c r="K44" s="10"/>
      <c r="L44" s="10"/>
      <c r="M44" s="10"/>
      <c r="N44" s="5"/>
    </row>
    <row r="45" spans="1:19" ht="29" x14ac:dyDescent="0.35">
      <c r="B45" s="4" t="s">
        <v>59</v>
      </c>
      <c r="C45" s="39">
        <v>1062</v>
      </c>
      <c r="D45" s="21" t="s">
        <v>80</v>
      </c>
      <c r="E45" s="10"/>
      <c r="F45" s="10"/>
      <c r="G45" s="10"/>
      <c r="H45" s="10"/>
      <c r="I45" s="10"/>
      <c r="J45" s="10"/>
      <c r="K45" s="10"/>
      <c r="L45" s="10"/>
      <c r="M45" s="10"/>
      <c r="N45" s="5"/>
    </row>
    <row r="46" spans="1:19" ht="29" x14ac:dyDescent="0.35">
      <c r="B46" s="4" t="s">
        <v>60</v>
      </c>
      <c r="C46" s="39">
        <f>73.2/117.6</f>
        <v>0.62244897959183676</v>
      </c>
      <c r="D46" s="21" t="s">
        <v>61</v>
      </c>
      <c r="E46" s="10"/>
      <c r="F46" s="10"/>
      <c r="G46" s="10"/>
      <c r="H46" s="10"/>
      <c r="I46" s="10"/>
      <c r="J46" s="10"/>
      <c r="K46" s="10"/>
      <c r="L46" s="10"/>
      <c r="M46" s="10"/>
      <c r="N46" s="5"/>
    </row>
    <row r="47" spans="1:19" ht="43.5" x14ac:dyDescent="0.35">
      <c r="B47" s="4" t="s">
        <v>67</v>
      </c>
      <c r="C47" s="39">
        <v>1.4999999999999999E-2</v>
      </c>
      <c r="D47" s="21" t="s">
        <v>74</v>
      </c>
      <c r="E47" s="10"/>
      <c r="F47" s="10"/>
      <c r="G47" s="10"/>
      <c r="H47" s="10"/>
      <c r="I47" s="10"/>
      <c r="J47" s="10"/>
      <c r="K47" s="10"/>
      <c r="L47" s="10"/>
      <c r="M47" s="10"/>
      <c r="N47" s="5"/>
    </row>
    <row r="48" spans="1:19" x14ac:dyDescent="0.35">
      <c r="B48" s="4" t="s">
        <v>56</v>
      </c>
      <c r="C48" s="39">
        <v>25</v>
      </c>
      <c r="D48" s="21" t="s">
        <v>75</v>
      </c>
      <c r="E48" s="10"/>
      <c r="F48" s="10"/>
      <c r="G48" s="10"/>
      <c r="H48" s="10"/>
      <c r="I48" s="10"/>
      <c r="J48" s="10"/>
      <c r="K48" s="10"/>
      <c r="L48" s="10"/>
      <c r="M48" s="10"/>
      <c r="N48" s="5"/>
    </row>
    <row r="49" spans="2:14" x14ac:dyDescent="0.35">
      <c r="B49" s="4" t="s">
        <v>3</v>
      </c>
      <c r="C49" s="39">
        <v>0.1</v>
      </c>
      <c r="D49" s="10" t="s">
        <v>21</v>
      </c>
      <c r="E49" s="10"/>
      <c r="F49" s="10"/>
      <c r="G49" s="10"/>
      <c r="H49" s="10"/>
      <c r="I49" s="10"/>
      <c r="J49" s="10"/>
      <c r="K49" s="10"/>
      <c r="L49" s="10"/>
      <c r="M49" s="10"/>
      <c r="N49" s="5"/>
    </row>
    <row r="50" spans="2:14" x14ac:dyDescent="0.35">
      <c r="B50" s="43" t="s">
        <v>4</v>
      </c>
      <c r="C50" s="40">
        <f>(C49*(1+C49)^C48)/((1+C49)^C48-1)</f>
        <v>0.11016807219002084</v>
      </c>
      <c r="D50" s="10" t="s">
        <v>10</v>
      </c>
      <c r="E50" s="10"/>
      <c r="F50" s="10"/>
      <c r="G50" s="10"/>
      <c r="H50" s="10"/>
      <c r="I50" s="10"/>
      <c r="J50" s="10"/>
      <c r="K50" s="10"/>
      <c r="L50" s="10"/>
      <c r="M50" s="10"/>
      <c r="N50" s="5"/>
    </row>
    <row r="51" spans="2:14" x14ac:dyDescent="0.35">
      <c r="B51" s="36"/>
      <c r="C51" s="10"/>
      <c r="D51" s="10"/>
      <c r="E51" s="10"/>
      <c r="F51" s="10"/>
      <c r="G51" s="10"/>
      <c r="H51" s="10"/>
      <c r="I51" s="10"/>
      <c r="J51" s="10"/>
      <c r="K51" s="10"/>
      <c r="L51" s="10"/>
      <c r="M51" s="10"/>
      <c r="N51" s="5"/>
    </row>
    <row r="52" spans="2:14" ht="58" x14ac:dyDescent="0.35">
      <c r="B52" s="45" t="s">
        <v>11</v>
      </c>
      <c r="C52" s="46" t="s">
        <v>65</v>
      </c>
      <c r="D52" s="46" t="s">
        <v>66</v>
      </c>
      <c r="E52" s="46" t="s">
        <v>69</v>
      </c>
      <c r="F52" s="46" t="s">
        <v>68</v>
      </c>
      <c r="G52" s="46" t="s">
        <v>70</v>
      </c>
      <c r="H52" s="46" t="s">
        <v>71</v>
      </c>
      <c r="I52" s="46" t="s">
        <v>24</v>
      </c>
      <c r="J52" s="47"/>
      <c r="K52" s="47"/>
      <c r="L52" s="47"/>
      <c r="M52" s="48" t="s">
        <v>27</v>
      </c>
      <c r="N52" s="49" t="s">
        <v>51</v>
      </c>
    </row>
    <row r="53" spans="2:14" x14ac:dyDescent="0.35">
      <c r="B53" s="36" t="s">
        <v>63</v>
      </c>
      <c r="C53" s="10">
        <f>$C$45*$C$4*$C$46*$C$6</f>
        <v>190299.6289424861</v>
      </c>
      <c r="D53" s="10">
        <f>C53*$C$50</f>
        <v>20964.943259069987</v>
      </c>
      <c r="E53" s="10">
        <f>C53*$C$47</f>
        <v>2854.4944341372916</v>
      </c>
      <c r="F53" s="10">
        <f>D53+E53</f>
        <v>23819.437693207277</v>
      </c>
      <c r="G53" s="10">
        <f>K19</f>
        <v>61868.875215428707</v>
      </c>
      <c r="H53" s="10">
        <f>G53+F53</f>
        <v>85688.312908635984</v>
      </c>
      <c r="I53" s="10">
        <f>I19</f>
        <v>57302.193433824017</v>
      </c>
      <c r="J53" s="10"/>
      <c r="K53" s="10"/>
      <c r="L53" s="10"/>
      <c r="M53" s="10">
        <f>H53/I53</f>
        <v>1.4953757923349644</v>
      </c>
      <c r="N53" s="5">
        <f>ROUND(M53,2)</f>
        <v>1.5</v>
      </c>
    </row>
    <row r="54" spans="2:14" ht="15" thickBot="1" x14ac:dyDescent="0.4">
      <c r="B54" s="11" t="s">
        <v>64</v>
      </c>
      <c r="C54" s="18">
        <f>$C$45*$C$4*$C$46*$C$6</f>
        <v>190299.6289424861</v>
      </c>
      <c r="D54" s="18">
        <f>C54*$C$50</f>
        <v>20964.943259069987</v>
      </c>
      <c r="E54" s="18">
        <f>C54*$C$47</f>
        <v>2854.4944341372916</v>
      </c>
      <c r="F54" s="18">
        <f>D54+E54</f>
        <v>23819.437693207277</v>
      </c>
      <c r="G54" s="18">
        <f>K21</f>
        <v>40330.658494813775</v>
      </c>
      <c r="H54" s="18">
        <f>G54+F54</f>
        <v>64150.096188021053</v>
      </c>
      <c r="I54" s="18">
        <f>I21</f>
        <v>57302.193433824017</v>
      </c>
      <c r="J54" s="18"/>
      <c r="K54" s="18"/>
      <c r="L54" s="18"/>
      <c r="M54" s="18">
        <f>H54/I54</f>
        <v>1.1195050720371709</v>
      </c>
      <c r="N54" s="7">
        <f>ROUND(M54,2)</f>
        <v>1.1200000000000001</v>
      </c>
    </row>
    <row r="55" spans="2:14" x14ac:dyDescent="0.35">
      <c r="C55" s="10"/>
    </row>
    <row r="56" spans="2:14" x14ac:dyDescent="0.35">
      <c r="B56" t="s">
        <v>72</v>
      </c>
      <c r="C56" s="10"/>
    </row>
    <row r="57" spans="2:14" x14ac:dyDescent="0.35">
      <c r="B57" s="37" t="s">
        <v>62</v>
      </c>
      <c r="C57" s="21">
        <v>0.2</v>
      </c>
      <c r="D57" s="21" t="s">
        <v>73</v>
      </c>
      <c r="I57" s="21"/>
      <c r="J57" s="21"/>
    </row>
    <row r="58" spans="2:14" x14ac:dyDescent="0.35">
      <c r="D58" t="s">
        <v>77</v>
      </c>
    </row>
    <row r="59" spans="2:14" x14ac:dyDescent="0.35">
      <c r="B59" t="s">
        <v>78</v>
      </c>
      <c r="C59">
        <v>0.6</v>
      </c>
      <c r="D59" t="s">
        <v>82</v>
      </c>
    </row>
  </sheetData>
  <hyperlinks>
    <hyperlink ref="D11" r:id="rId1" xr:uid="{6CE10C64-3266-47C8-A9A0-EF18132F6EEB}"/>
  </hyperlinks>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process heat technologies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Speizer, Simone A</dc:creator>
  <cp:lastModifiedBy>Speizer, Simone A</cp:lastModifiedBy>
  <dcterms:created xsi:type="dcterms:W3CDTF">2023-06-21T15:48:46Z</dcterms:created>
  <dcterms:modified xsi:type="dcterms:W3CDTF">2023-07-05T16:11:52Z</dcterms:modified>
</cp:coreProperties>
</file>