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/Google Drive/Finance/Program Analysis/FY21/Projections/4_output/"/>
    </mc:Choice>
  </mc:AlternateContent>
  <xr:revisionPtr revIDLastSave="0" documentId="13_ncr:1_{C8781093-54E4-244B-861A-D3F9A2E9B2CD}" xr6:coauthVersionLast="45" xr6:coauthVersionMax="45" xr10:uidLastSave="{00000000-0000-0000-0000-000000000000}"/>
  <bookViews>
    <workbookView xWindow="0" yWindow="0" windowWidth="28800" windowHeight="18000" xr2:uid="{92C3CF5F-EB1E-4345-89CD-3E6307D3DEB2}"/>
  </bookViews>
  <sheets>
    <sheet name="Departments" sheetId="1" r:id="rId1"/>
    <sheet name="Summer" sheetId="3" r:id="rId2"/>
    <sheet name="Key Ratios and IC" sheetId="2" r:id="rId3"/>
    <sheet name="Direct Costs Allocation" sheetId="6" r:id="rId4"/>
    <sheet name="Pivot All Costs" sheetId="5" r:id="rId5"/>
    <sheet name="F19 Indirect Allocations (2)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___Key2" hidden="1">'[1]Refining Capacity Changes'!$N$1037</definedName>
    <definedName name="____Key2" hidden="1">'[1]Refining Capacity Changes'!$N$1037</definedName>
    <definedName name="___Key2" hidden="1">'[1]Refining Capacity Changes'!$N$1037</definedName>
    <definedName name="__123Graph_A" localSheetId="5" hidden="1">[2]A!#REF!</definedName>
    <definedName name="__123Graph_A" hidden="1">[2]A!#REF!</definedName>
    <definedName name="__123Graph_AAlumina" hidden="1">'[3]Quarterly Metal and AEP Prices'!$E$5:$E$87</definedName>
    <definedName name="__123Graph_AGRAPH1" localSheetId="5" hidden="1">[2]A!#REF!</definedName>
    <definedName name="__123Graph_AGRAPH1" hidden="1">[2]A!#REF!</definedName>
    <definedName name="__123Graph_ASENS" localSheetId="5" hidden="1">[2]A!#REF!</definedName>
    <definedName name="__123Graph_ASENS" hidden="1">[2]A!#REF!</definedName>
    <definedName name="__123Graph_B" localSheetId="5" hidden="1">[2]A!#REF!</definedName>
    <definedName name="__123Graph_B" hidden="1">[2]A!#REF!</definedName>
    <definedName name="__123Graph_BAlumina" hidden="1">'[3]Quarterly Metal and AEP Prices'!$F$5:$F$90</definedName>
    <definedName name="__123Graph_C" localSheetId="5" hidden="1">[2]A!#REF!</definedName>
    <definedName name="__123Graph_C" hidden="1">[2]A!#REF!</definedName>
    <definedName name="__123Graph_X" localSheetId="5" hidden="1">[2]A!#REF!</definedName>
    <definedName name="__123Graph_X" hidden="1">[2]A!#REF!</definedName>
    <definedName name="__123Graph_XGRAPH1" localSheetId="5" hidden="1">[2]A!#REF!</definedName>
    <definedName name="__123Graph_XGRAPH1" hidden="1">[2]A!#REF!</definedName>
    <definedName name="__Key2" hidden="1">'[1]Refining Capacity Changes'!$N$1037</definedName>
    <definedName name="_1__123Graph_ACHART_1" localSheetId="5" hidden="1">#REF!</definedName>
    <definedName name="_1__123Graph_ACHART_1" hidden="1">#REF!</definedName>
    <definedName name="_1__123Graph_AP_SSENS" localSheetId="5" hidden="1">[2]A!#REF!</definedName>
    <definedName name="_1__123Graph_AP_SSENS" hidden="1">[2]A!#REF!</definedName>
    <definedName name="_11__123Graph_BP_SSENS" localSheetId="5" hidden="1">[2]A!#REF!</definedName>
    <definedName name="_11__123Graph_BP_SSENS" hidden="1">[2]A!#REF!</definedName>
    <definedName name="_12__123Graph_BP_SENS" localSheetId="5" hidden="1">[2]A!#REF!</definedName>
    <definedName name="_12__123Graph_BP_SENS" hidden="1">[2]A!#REF!</definedName>
    <definedName name="_13__123Graph_CP_SSENS" localSheetId="5" hidden="1">[2]A!#REF!</definedName>
    <definedName name="_13__123Graph_CP_SSENS" hidden="1">[2]A!#REF!</definedName>
    <definedName name="_14__123Graph_CP_SENS" localSheetId="5" hidden="1">[2]A!#REF!</definedName>
    <definedName name="_14__123Graph_CP_SENS" hidden="1">[2]A!#REF!</definedName>
    <definedName name="_18__123Graph_XP_SSENS" localSheetId="5" hidden="1">[2]A!#REF!</definedName>
    <definedName name="_18__123Graph_XP_SSENS" hidden="1">[2]A!#REF!</definedName>
    <definedName name="_19__123Graph_XP_SENS" localSheetId="5" hidden="1">[2]A!#REF!</definedName>
    <definedName name="_19__123Graph_XP_SENS" hidden="1">[2]A!#REF!</definedName>
    <definedName name="_2__123Graph_AP_SENS" localSheetId="5" hidden="1">[2]A!#REF!</definedName>
    <definedName name="_2__123Graph_AP_SENS" hidden="1">[2]A!#REF!</definedName>
    <definedName name="_222" localSheetId="5" hidden="1">[4]A!#REF!</definedName>
    <definedName name="_222" hidden="1">[4]A!#REF!</definedName>
    <definedName name="_3__123Graph_BP_SSENS" localSheetId="5" hidden="1">[2]A!#REF!</definedName>
    <definedName name="_3__123Graph_BP_SSENS" hidden="1">[2]A!#REF!</definedName>
    <definedName name="_4__123Graph_BP_SENS" localSheetId="5" hidden="1">[2]A!#REF!</definedName>
    <definedName name="_4__123Graph_BP_SENS" hidden="1">[2]A!#REF!</definedName>
    <definedName name="_5__123Graph_AP_SSENS" localSheetId="5" hidden="1">[2]A!#REF!</definedName>
    <definedName name="_5__123Graph_AP_SSENS" hidden="1">[2]A!#REF!</definedName>
    <definedName name="_5__123Graph_CP_SSENS" localSheetId="5" hidden="1">[2]A!#REF!</definedName>
    <definedName name="_5__123Graph_CP_SSENS" hidden="1">[2]A!#REF!</definedName>
    <definedName name="_6__123Graph_AP_SENS" localSheetId="5" hidden="1">[2]A!#REF!</definedName>
    <definedName name="_6__123Graph_AP_SENS" hidden="1">[2]A!#REF!</definedName>
    <definedName name="_6__123Graph_CP_SENS" localSheetId="5" hidden="1">[2]A!#REF!</definedName>
    <definedName name="_6__123Graph_CP_SENS" hidden="1">[2]A!#REF!</definedName>
    <definedName name="_7__123Graph_BCHART_1" localSheetId="5" hidden="1">#REF!</definedName>
    <definedName name="_7__123Graph_BCHART_1" hidden="1">#REF!</definedName>
    <definedName name="_7__123Graph_XP_SSENS" localSheetId="5" hidden="1">[2]A!#REF!</definedName>
    <definedName name="_7__123Graph_XP_SSENS" hidden="1">[2]A!#REF!</definedName>
    <definedName name="_8__123Graph_XP_SENS" localSheetId="5" hidden="1">[2]A!#REF!</definedName>
    <definedName name="_8__123Graph_XP_SENS" hidden="1">[2]A!#REF!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ill" localSheetId="5" hidden="1">#REF!</definedName>
    <definedName name="_Fill" hidden="1">#REF!</definedName>
    <definedName name="_xlnm._FilterDatabase" localSheetId="0" hidden="1">Departments!$A$1:$S$34</definedName>
    <definedName name="_xlnm._FilterDatabase" localSheetId="5" hidden="1">'F19 Indirect Allocations (2)'!$A$1:$I$225</definedName>
    <definedName name="_xlnm._FilterDatabase" localSheetId="4" hidden="1">'Pivot All Costs'!$A$3:$C$45</definedName>
    <definedName name="_hos" hidden="1">{"5","Chart 3","5 Chart 3"}</definedName>
    <definedName name="_Key1" localSheetId="5" hidden="1">#REF!</definedName>
    <definedName name="_Key1" hidden="1">#REF!</definedName>
    <definedName name="_Key2" localSheetId="5" hidden="1">#REF!</definedName>
    <definedName name="_Key2" hidden="1">#REF!</definedName>
    <definedName name="_MatInverse_In" localSheetId="5" hidden="1">#REF!</definedName>
    <definedName name="_MatInverse_In" hidden="1">#REF!</definedName>
    <definedName name="_MatMult_B" localSheetId="5" hidden="1">'[5]Inputs M&amp;R'!#REF!</definedName>
    <definedName name="_MatMult_B" hidden="1">'[5]Inputs M&amp;R'!#REF!</definedName>
    <definedName name="_Parse_In" localSheetId="5" hidden="1">#REF!</definedName>
    <definedName name="_Parse_In" hidden="1">#REF!</definedName>
    <definedName name="_Parse_Out" localSheetId="5" hidden="1">#REF!</definedName>
    <definedName name="_Parse_Out" hidden="1">#REF!</definedName>
    <definedName name="_Regression_Out" localSheetId="5" hidden="1">#REF!</definedName>
    <definedName name="_Regression_Out" hidden="1">#REF!</definedName>
    <definedName name="_Regression_X" localSheetId="5" hidden="1">#REF!</definedName>
    <definedName name="_Regression_X" hidden="1">#REF!</definedName>
    <definedName name="_Regression_Y" localSheetId="5" hidden="1">#REF!</definedName>
    <definedName name="_Regression_Y" hidden="1">#REF!</definedName>
    <definedName name="_Sort2" localSheetId="5" hidden="1">#REF!</definedName>
    <definedName name="_Sort2" hidden="1">#REF!</definedName>
    <definedName name="_Table1_In1" localSheetId="5" hidden="1">#REF!</definedName>
    <definedName name="_Table1_In1" hidden="1">#REF!</definedName>
    <definedName name="_Table1_Out" localSheetId="5" hidden="1">[2]A!#REF!</definedName>
    <definedName name="_Table1_Out" hidden="1">[2]A!#REF!</definedName>
    <definedName name="_Table2_In1" localSheetId="5" hidden="1">#REF!</definedName>
    <definedName name="_Table2_In1" hidden="1">#REF!</definedName>
    <definedName name="_Table2_In2" localSheetId="5" hidden="1">#REF!</definedName>
    <definedName name="_Table2_In2" hidden="1">#REF!</definedName>
    <definedName name="_TMAutoChart10Names" hidden="1">{"Stocks","Chart 24","Stocks Chart 24"}</definedName>
    <definedName name="_TMAutoChart10Refs" hidden="1">{"","","'Stocks'!$A$1","'Stocks'!$A$2","","","","","",""}</definedName>
    <definedName name="_TMAutoChart11Names" hidden="1">{"Stocks","Chart 25","Stocks Chart 25"}</definedName>
    <definedName name="_TMAutoChart11Refs" hidden="1">{"","","","","","","","","",""}</definedName>
    <definedName name="_TMAutoChart12Names" hidden="1">{"Stocks","Chart 26","Stocks Chart 26"}</definedName>
    <definedName name="_TMAutoChart12Refs" hidden="1">{"","","","","","","","","",""}</definedName>
    <definedName name="_TMAutoChart13Names" hidden="1">{"Stocks","Chart 27","Stocks Chart 27"}</definedName>
    <definedName name="_TMAutoChart13Refs" hidden="1">{"","","","","","","","","",""}</definedName>
    <definedName name="_TMAutoChart14Names" hidden="1">{"Stocks","Chart 28","Stocks Chart 28"}</definedName>
    <definedName name="_TMAutoChart14Refs" hidden="1">{"","","","","","","","","",""}</definedName>
    <definedName name="_TMAutoChart15Names" hidden="1">{"5 (Weeks)","Chart 2","5 (Weeks) Chart 2"}</definedName>
    <definedName name="_TMAutoChart15Refs" hidden="1">{"'5 (Weeks)'!$A$1","'5 (Weeks)'!$A$2","","","","","","","",""}</definedName>
    <definedName name="_TMAutoChart16Names" hidden="1">{"7","Chart 2","7 Chart 2"}</definedName>
    <definedName name="_TMAutoChart16Refs" hidden="1">{"'7'!$A$1","'7'!$A$2","","","","","","","",""}</definedName>
    <definedName name="_TMAutoChart17Names" hidden="1">{"7","Chart 3","7 Chart 3"}</definedName>
    <definedName name="_TMAutoChart17Refs" hidden="1">{"'7'!$A$1","'7'!$A$2","","","","","","","",""}</definedName>
    <definedName name="_TMAutoChart18Names" hidden="1">{"7","Chart 4","7 Chart 4"}</definedName>
    <definedName name="_TMAutoChart18Refs" hidden="1">{"'7'!$A$1","'7'!$A$2","","","","","","","",""}</definedName>
    <definedName name="_TMAutoChart19Names" hidden="1">{"7","Chart 5","7 Chart 5"}</definedName>
    <definedName name="_TMAutoChart19Refs" hidden="1">{"'7'!$A$1","'7'!$A$2","","","","","","","",""}</definedName>
    <definedName name="_TMAutoChart1Names" hidden="1">{"Stocks","Chart 2","Stocks Chart 2"}</definedName>
    <definedName name="_TMAutoChart1Refs" hidden="1">{"","","'Stocks'!$A$1","'Stocks'!$A$2","","","","","",""}</definedName>
    <definedName name="_TMAutoChart20Names" hidden="1">{"7","Chart 6","7 Chart 6"}</definedName>
    <definedName name="_TMAutoChart20Refs" hidden="1">{"'7'!$A$1","'7'!$A$2","","","","","","","",""}</definedName>
    <definedName name="_TMAutoChart21Names" hidden="1">{"7","Chart 7","7 Chart 7"}</definedName>
    <definedName name="_TMAutoChart21Refs" hidden="1">{"'7'!$A$1","'7'!$A$2","","","","","","","",""}</definedName>
    <definedName name="_TMAutoChart22Names" hidden="1">{"7","Chart 2","7 Chart 2"}</definedName>
    <definedName name="_TMAutoChart22Refs" hidden="1">{"'7'!$A$1","'7'!$A$2","","","","","","","",""}</definedName>
    <definedName name="_TMAutoChart23Names" hidden="1">{"7","Chart 4","7 Chart 4"}</definedName>
    <definedName name="_TMAutoChart23Refs" hidden="1">{"'7'!$A$1","'7'!$A$2","","","","","","","",""}</definedName>
    <definedName name="_TMAutoChart24Names" hidden="1">{"7","Chart 5","7 Chart 5"}</definedName>
    <definedName name="_TMAutoChart24Refs" hidden="1">{"'7'!$A$1","'7'!$A$2","","","","","","","",""}</definedName>
    <definedName name="_TMAutoChart25Names" hidden="1">{"7","Chart 8","7 Chart 8"}</definedName>
    <definedName name="_TMAutoChart25Refs" hidden="1">{"'7'!$A$1","'7'!$A$2","","","","","","","",""}</definedName>
    <definedName name="_TMAutoChart26Names" hidden="1">{"7","Chart 9","7 Chart 9"}</definedName>
    <definedName name="_TMAutoChart26Refs" hidden="1">{"'7'!$A$1","'7'!$A$2","","","","","","","",""}</definedName>
    <definedName name="_TMAutoChart2Names" hidden="1">{"Stocks","Chart 16","Stocks Chart 16"}</definedName>
    <definedName name="_TMAutoChart2Refs" hidden="1">{"","","'Stocks'!$A$1","'Stocks'!$A$2","","","","","",""}</definedName>
    <definedName name="_TMAutoChart3Names" hidden="1">{"Stocks","Chart 17","Stocks Chart 17"}</definedName>
    <definedName name="_TMAutoChart3Refs" hidden="1">{"","","'Stocks'!$A$1","'Stocks'!$A$2","","","","","",""}</definedName>
    <definedName name="_TMAutoChart4Names" hidden="1">{"Stocks","Chart 18","Stocks Chart 18"}</definedName>
    <definedName name="_TMAutoChart4Refs" hidden="1">{"","","","","","","","","",""}</definedName>
    <definedName name="_TMAutoChart5Names" hidden="1">{"Stocks","Chart 19","Stocks Chart 19"}</definedName>
    <definedName name="_TMAutoChart5Refs" hidden="1">{"","","","","","","","","",""}</definedName>
    <definedName name="_TMAutoChart6Names" hidden="1">{"Stocks","Chart 20","Stocks Chart 20"}</definedName>
    <definedName name="_TMAutoChart6Refs" hidden="1">{"","","","","","","","","",""}</definedName>
    <definedName name="_TMAutoChart7Names" hidden="1">{"Stocks","Chart 21","Stocks Chart 21"}</definedName>
    <definedName name="_TMAutoChart7Refs" hidden="1">{"","","","","","","","","",""}</definedName>
    <definedName name="_TMAutoChart8Names" hidden="1">{"Stocks","Chart 22","Stocks Chart 22"}</definedName>
    <definedName name="_TMAutoChart8Refs" hidden="1">{"","","","","","","","","",""}</definedName>
    <definedName name="_TMAutoChart9Names" hidden="1">{"Stocks","Chart 23","Stocks Chart 23"}</definedName>
    <definedName name="_TMAutoChart9Refs" hidden="1">{"","","'Stocks'!$A$1","'Stocks'!$A$2","","","","","",""}</definedName>
    <definedName name="_TMAutoChartCount" hidden="1">14</definedName>
    <definedName name="\0" localSheetId="5">'[6]FY18 revenues'!#REF!</definedName>
    <definedName name="\0">'[6]FY18 revenues'!#REF!</definedName>
    <definedName name="\D" localSheetId="5">'[6]FY18 revenues'!#REF!</definedName>
    <definedName name="\D">'[6]FY18 revenues'!#REF!</definedName>
    <definedName name="\S" localSheetId="5">'[6]FY18 revenues'!#REF!</definedName>
    <definedName name="\S">'[6]FY18 revenues'!#REF!</definedName>
    <definedName name="allocations">'[7]Indirect expense allocation'!$V:$V</definedName>
    <definedName name="asdf" localSheetId="5" hidden="1">[2]A!#REF!</definedName>
    <definedName name="asdf" hidden="1">[2]A!#REF!</definedName>
    <definedName name="BEx3NZM1KNU3TB16EPQ7U4UUMPIK" localSheetId="5" hidden="1">#REF!</definedName>
    <definedName name="BEx3NZM1KNU3TB16EPQ7U4UUMPIK" hidden="1">#REF!</definedName>
    <definedName name="BEx5JPR3UQUGKS4P6E5KA1MZD3XI" hidden="1">_TMAutoChart18Names [8]Data!$F$3:$I$18</definedName>
    <definedName name="BEx9EYUKMA1CT42334F21J11TWSU" localSheetId="5" hidden="1">#REF!</definedName>
    <definedName name="BEx9EYUKMA1CT42334F21J11TWSU" hidden="1">#REF!</definedName>
    <definedName name="BExB41Z8F9GHZ6UOYZN854H2WT0Y" localSheetId="5" hidden="1">#REF!</definedName>
    <definedName name="BExB41Z8F9GHZ6UOYZN854H2WT0Y" hidden="1">#REF!</definedName>
    <definedName name="BExGPNB39R73CZQW6Y9SJB6IVGT8" hidden="1">_TMAutoChart18Names [8]Data!$F$3:$P$29</definedName>
    <definedName name="BExMO2H7IK6Y6FOSZ0JN6X46TN7Y" localSheetId="5" hidden="1">#REF!</definedName>
    <definedName name="BExMO2H7IK6Y6FOSZ0JN6X46TN7Y" hidden="1">#REF!</definedName>
    <definedName name="BExO7OUQWDKO0IBK1AFV6YCQWS48" localSheetId="5" hidden="1">#REF!</definedName>
    <definedName name="BExO7OUQWDKO0IBK1AFV6YCQWS48" hidden="1">#REF!</definedName>
    <definedName name="BExU68INXK0O4ZI3WI2A6QIC14AY" localSheetId="5" hidden="1">_Sch4 [9]Input!$A$1:$M$2</definedName>
    <definedName name="BExU68INXK0O4ZI3WI2A6QIC14AY" hidden="1">_Sch4 [9]Input!$A$1:$M$2</definedName>
    <definedName name="BExW98LIQUM4NIKQN00OMIDZPC39" hidden="1">_TMAutoChart18Names [8]Data!$A$3:$C$49</definedName>
    <definedName name="cas_helper">[10]Student_input!$M$3:$N$21</definedName>
    <definedName name="casdept_helper">'[10]Section_output DIST'!$O$4:$P$21</definedName>
    <definedName name="CBWorkbookPriority" hidden="1">-1495167451</definedName>
    <definedName name="college_helper">[10]Section_input!$U$3:$V$12</definedName>
    <definedName name="crstype_helper">[10]Section_input!$X$3:$Y$17</definedName>
    <definedName name="FY17data">'[7]FY17 Baseline Model Summary'!$B$2:$AF$79</definedName>
    <definedName name="FY17rows">'[7]FY17 Baseline Model Summary'!$B$2:$B$79</definedName>
    <definedName name="FY18_revenues" localSheetId="5" hidden="1">#REF!</definedName>
    <definedName name="FY18_revenues" hidden="1">#REF!</definedName>
    <definedName name="HTML_CodePage" hidden="1">1252</definedName>
    <definedName name="HTML_Control" hidden="1">{"'EII Schedule'!$A$3:$T$21","'PPT Schedule'!$A$3:$T$20"}</definedName>
    <definedName name="HTML_Description" hidden="1">""</definedName>
    <definedName name="HTML_Email" hidden="1">"Tony.Dow@hi.riotinto.com.au"</definedName>
    <definedName name="HTML_Header" hidden="1">"EII / PPT Schedule"</definedName>
    <definedName name="HTML_LastUpdate" hidden="1">"13/02/2003"</definedName>
    <definedName name="HTML_LineAfter" hidden="1">TRUE</definedName>
    <definedName name="HTML_LineBefore" hidden="1">TRUE</definedName>
    <definedName name="HTML_Name" hidden="1">"dowav"</definedName>
    <definedName name="HTML_OBDlg2" hidden="1">TRUE</definedName>
    <definedName name="HTML_OBDlg4" hidden="1">TRUE</definedName>
    <definedName name="HTML_OS" hidden="1">0</definedName>
    <definedName name="HTML_PathFile" hidden="1">"S:\DAPO\BLENDING\VCT\Junk\ShipSchedulebyPort.htm"</definedName>
    <definedName name="HTML_Title" hidden="1">"Ship Schedule by Port"</definedName>
    <definedName name="indirectdata">'[7]Indirect expense allocation'!$A$5:$V$261</definedName>
    <definedName name="IntroPrintArea" localSheetId="5" hidden="1">#REF!</definedName>
    <definedName name="IntroPrintArea" hidden="1">#REF!</definedName>
    <definedName name="MAINMENU" localSheetId="5">'[6]FY18 revenues'!#REF!</definedName>
    <definedName name="MAINMENU">'[6]FY18 revenues'!#REF!</definedName>
    <definedName name="PAGE1" localSheetId="5">'[6]FY18 revenues'!#REF!</definedName>
    <definedName name="PAGE1">'[6]FY18 revenues'!#REF!</definedName>
    <definedName name="PAGE3" localSheetId="5">'[6]FY18 revenues'!#REF!</definedName>
    <definedName name="PAGE3">'[6]FY18 revenues'!#REF!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" localSheetId="5" hidden="1">Raw [8]Data!$F$3:$P$29</definedName>
    <definedName name="s" hidden="1">Raw [8]Data!$F$3:$P$29</definedName>
    <definedName name="SAPBEXrevision" hidden="1">26</definedName>
    <definedName name="SAPBEXwbID" hidden="1">"EUNOKBPWC5AUG2BJV6O2C7JAS"</definedName>
    <definedName name="status_helper">[10]Salary_input!$M$3:$N$5</definedName>
    <definedName name="tenure_helper">[10]Salary_input!$P$3:$Q$8</definedName>
    <definedName name="test">'[11]FY17 Baseline Model Summary'!$B$2:$B$79</definedName>
    <definedName name="test1">'[11]FY17 Baseline Model Summary'!$B$2:$AF$79</definedName>
    <definedName name="twwe">'[12]FY17 Baseline Model Summary'!$B$2:$AF$79</definedName>
    <definedName name="uiuiiii" hidden="1">{"Reprév 0 et 1",#N/A,TRUE,"Param (2)"}</definedName>
    <definedName name="wrn.PrintAll." hidden="1">{#N/A,#N/A,TRUE,"Summary";#N/A,#N/A,TRUE,"Tonnes";#N/A,#N/A,TRUE,"Price";#N/A,#N/A,TRUE,"Accounting";#N/A,#N/A,TRUE,"Comparison"}</definedName>
    <definedName name="wrn.TOUT." hidden="1">{#N/A,#N/A,FALSE,"SYNTHESE";#N/A,#N/A,FALSE,"ANNEXE";#N/A,#N/A,FALSE,"ACTIONS";#N/A,#N/A,FALSE,"RECONCIL"}</definedName>
    <definedName name="wrn.TRADING._.1995." hidden="1">{"TRADING 1995",#N/A,FALSE,"1994 VS 1995,96,97"}</definedName>
    <definedName name="wrn.TRADING._.1996." hidden="1">{"TRADING 1996",#N/A,FALSE,"1994 VS 1995,96,97"}</definedName>
    <definedName name="wrn.TRADING._.1997." hidden="1">{"TRADING 1997",#N/A,FALSE,"1994 VS 1995,96,97"}</definedName>
    <definedName name="xxx" hidden="1">[13]Sheet1!$N$1028</definedName>
    <definedName name="yikes" localSheetId="5" hidden="1">[14]A!#REF!</definedName>
    <definedName name="yikes" hidden="1">[14]A!#REF!</definedName>
    <definedName name="yyyy" hidden="1">[13]Sheet1!$J$1028:$T$1043</definedName>
  </definedNames>
  <calcPr calcId="191029"/>
  <pivotCaches>
    <pivotCache cacheId="22" r:id="rId2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F22" i="2"/>
  <c r="E38" i="1"/>
  <c r="D33" i="2" s="1"/>
  <c r="T27" i="1" l="1"/>
  <c r="C33" i="1"/>
  <c r="C27" i="1"/>
  <c r="AE33" i="2"/>
  <c r="AD33" i="2"/>
  <c r="AC6" i="2"/>
  <c r="AC33" i="2"/>
  <c r="AG33" i="2" s="1"/>
  <c r="R33" i="1" s="1"/>
  <c r="AA33" i="2"/>
  <c r="Z33" i="2"/>
  <c r="W6" i="2"/>
  <c r="W33" i="2"/>
  <c r="X6" i="2"/>
  <c r="X33" i="2"/>
  <c r="Y6" i="2"/>
  <c r="Y33" i="2"/>
  <c r="V34" i="2"/>
  <c r="T33" i="2"/>
  <c r="S33" i="2"/>
  <c r="L6" i="2"/>
  <c r="Z6" i="2" s="1"/>
  <c r="U33" i="2"/>
  <c r="U34" i="2"/>
  <c r="K34" i="2"/>
  <c r="K35" i="2" s="1"/>
  <c r="J6" i="2"/>
  <c r="I6" i="2"/>
  <c r="AA6" i="2" s="1"/>
  <c r="O33" i="2"/>
  <c r="E6" i="2"/>
  <c r="O6" i="2" s="1"/>
  <c r="N6" i="2"/>
  <c r="N33" i="2"/>
  <c r="AB33" i="2" l="1"/>
  <c r="Q33" i="1" s="1"/>
  <c r="AE6" i="2"/>
  <c r="AD6" i="2"/>
  <c r="AG6" i="2" s="1"/>
  <c r="R27" i="1" s="1"/>
  <c r="L33" i="1"/>
  <c r="O33" i="1" s="1"/>
  <c r="N34" i="1"/>
  <c r="M34" i="1"/>
  <c r="I34" i="1"/>
  <c r="H34" i="1"/>
  <c r="J33" i="1"/>
  <c r="F34" i="1"/>
  <c r="E34" i="1"/>
  <c r="D34" i="1"/>
  <c r="G33" i="1" l="1"/>
  <c r="K33" i="1" l="1"/>
  <c r="P33" i="1" s="1"/>
  <c r="S33" i="1" s="1"/>
  <c r="U33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8" i="1"/>
  <c r="T29" i="1"/>
  <c r="T30" i="1"/>
  <c r="T31" i="1"/>
  <c r="T32" i="1"/>
  <c r="T2" i="1"/>
  <c r="T34" i="1" l="1"/>
  <c r="AD34" i="2"/>
  <c r="L3" i="2"/>
  <c r="L4" i="2"/>
  <c r="L5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2" i="2"/>
  <c r="J3" i="2"/>
  <c r="J4" i="2"/>
  <c r="J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3" i="2"/>
  <c r="F24" i="2"/>
  <c r="F25" i="2"/>
  <c r="F26" i="2"/>
  <c r="F27" i="2"/>
  <c r="F28" i="2"/>
  <c r="F29" i="2"/>
  <c r="F30" i="2"/>
  <c r="F31" i="2"/>
  <c r="F32" i="2"/>
  <c r="E2" i="2"/>
  <c r="E3" i="2"/>
  <c r="O3" i="2" s="1"/>
  <c r="E4" i="2"/>
  <c r="O4" i="2" s="1"/>
  <c r="E5" i="2"/>
  <c r="O5" i="2" s="1"/>
  <c r="E7" i="2"/>
  <c r="O7" i="2" s="1"/>
  <c r="E8" i="2"/>
  <c r="O8" i="2" s="1"/>
  <c r="E9" i="2"/>
  <c r="O9" i="2" s="1"/>
  <c r="E10" i="2"/>
  <c r="O10" i="2" s="1"/>
  <c r="E11" i="2"/>
  <c r="O11" i="2" s="1"/>
  <c r="E12" i="2"/>
  <c r="O12" i="2" s="1"/>
  <c r="E13" i="2"/>
  <c r="O13" i="2" s="1"/>
  <c r="E14" i="2"/>
  <c r="O14" i="2" s="1"/>
  <c r="E15" i="2"/>
  <c r="O15" i="2" s="1"/>
  <c r="E16" i="2"/>
  <c r="O16" i="2" s="1"/>
  <c r="E17" i="2"/>
  <c r="O17" i="2" s="1"/>
  <c r="E18" i="2"/>
  <c r="O18" i="2" s="1"/>
  <c r="E19" i="2"/>
  <c r="O19" i="2" s="1"/>
  <c r="E20" i="2"/>
  <c r="O20" i="2" s="1"/>
  <c r="E21" i="2"/>
  <c r="O21" i="2" s="1"/>
  <c r="E22" i="2"/>
  <c r="O22" i="2" s="1"/>
  <c r="E23" i="2"/>
  <c r="O23" i="2" s="1"/>
  <c r="E24" i="2"/>
  <c r="O24" i="2" s="1"/>
  <c r="E25" i="2"/>
  <c r="O25" i="2" s="1"/>
  <c r="E26" i="2"/>
  <c r="O26" i="2" s="1"/>
  <c r="E27" i="2"/>
  <c r="O27" i="2" s="1"/>
  <c r="E28" i="2"/>
  <c r="O28" i="2" s="1"/>
  <c r="E29" i="2"/>
  <c r="O29" i="2" s="1"/>
  <c r="E30" i="2"/>
  <c r="O30" i="2" s="1"/>
  <c r="E31" i="2"/>
  <c r="O31" i="2" s="1"/>
  <c r="E32" i="2"/>
  <c r="O32" i="2" s="1"/>
  <c r="D3" i="2"/>
  <c r="D4" i="2"/>
  <c r="D5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C44" i="5"/>
  <c r="C6" i="5"/>
  <c r="C7" i="5"/>
  <c r="C8" i="5"/>
  <c r="C9" i="5"/>
  <c r="C12" i="5"/>
  <c r="C18" i="5"/>
  <c r="C19" i="5"/>
  <c r="C20" i="5"/>
  <c r="C21" i="5"/>
  <c r="C29" i="5"/>
  <c r="C37" i="5"/>
  <c r="C39" i="5"/>
  <c r="C42" i="5"/>
  <c r="W29" i="2" l="1"/>
  <c r="X29" i="2"/>
  <c r="AC29" i="2"/>
  <c r="C29" i="1"/>
  <c r="N29" i="2"/>
  <c r="Y29" i="2"/>
  <c r="W21" i="2"/>
  <c r="X21" i="2"/>
  <c r="AC21" i="2"/>
  <c r="C20" i="1"/>
  <c r="N21" i="2"/>
  <c r="Y21" i="2"/>
  <c r="W13" i="2"/>
  <c r="X13" i="2"/>
  <c r="AC13" i="2"/>
  <c r="C13" i="1"/>
  <c r="Y13" i="2"/>
  <c r="N13" i="2"/>
  <c r="AC4" i="2"/>
  <c r="C4" i="1"/>
  <c r="W4" i="2"/>
  <c r="X4" i="2"/>
  <c r="Y4" i="2"/>
  <c r="N4" i="2"/>
  <c r="AA30" i="2"/>
  <c r="AE30" i="2"/>
  <c r="AA22" i="2"/>
  <c r="AE22" i="2"/>
  <c r="AA14" i="2"/>
  <c r="AE14" i="2"/>
  <c r="AA5" i="2"/>
  <c r="AE5" i="2"/>
  <c r="Z26" i="2"/>
  <c r="AD26" i="2"/>
  <c r="Z18" i="2"/>
  <c r="AD18" i="2"/>
  <c r="Z10" i="2"/>
  <c r="AD10" i="2"/>
  <c r="AC28" i="2"/>
  <c r="C26" i="1"/>
  <c r="W28" i="2"/>
  <c r="X28" i="2"/>
  <c r="N28" i="2"/>
  <c r="Y28" i="2"/>
  <c r="AC20" i="2"/>
  <c r="C18" i="1"/>
  <c r="W20" i="2"/>
  <c r="X20" i="2"/>
  <c r="Y20" i="2"/>
  <c r="N20" i="2"/>
  <c r="AC12" i="2"/>
  <c r="C12" i="1"/>
  <c r="W12" i="2"/>
  <c r="X12" i="2"/>
  <c r="Y12" i="2"/>
  <c r="N12" i="2"/>
  <c r="AC3" i="2"/>
  <c r="C3" i="1"/>
  <c r="Y3" i="2"/>
  <c r="W3" i="2"/>
  <c r="X3" i="2"/>
  <c r="N3" i="2"/>
  <c r="AA29" i="2"/>
  <c r="AE29" i="2"/>
  <c r="AA21" i="2"/>
  <c r="AE21" i="2"/>
  <c r="AA13" i="2"/>
  <c r="AE13" i="2"/>
  <c r="AA4" i="2"/>
  <c r="AE4" i="2"/>
  <c r="L34" i="2"/>
  <c r="L35" i="2" s="1"/>
  <c r="Z25" i="2"/>
  <c r="AD25" i="2"/>
  <c r="Z17" i="2"/>
  <c r="AD17" i="2"/>
  <c r="Z9" i="2"/>
  <c r="AD9" i="2"/>
  <c r="AC27" i="2"/>
  <c r="C25" i="1"/>
  <c r="Y27" i="2"/>
  <c r="W27" i="2"/>
  <c r="N27" i="2"/>
  <c r="X27" i="2"/>
  <c r="AC19" i="2"/>
  <c r="C17" i="1"/>
  <c r="Y19" i="2"/>
  <c r="W19" i="2"/>
  <c r="X19" i="2"/>
  <c r="N19" i="2"/>
  <c r="AC11" i="2"/>
  <c r="C11" i="1"/>
  <c r="Y11" i="2"/>
  <c r="W11" i="2"/>
  <c r="N11" i="2"/>
  <c r="X11" i="2"/>
  <c r="AA28" i="2"/>
  <c r="AE28" i="2"/>
  <c r="AA20" i="2"/>
  <c r="AE20" i="2"/>
  <c r="AA12" i="2"/>
  <c r="AE12" i="2"/>
  <c r="AE3" i="2"/>
  <c r="AA3" i="2"/>
  <c r="Z32" i="2"/>
  <c r="AD32" i="2"/>
  <c r="Z24" i="2"/>
  <c r="AD24" i="2"/>
  <c r="Z16" i="2"/>
  <c r="AD16" i="2"/>
  <c r="Z8" i="2"/>
  <c r="AD8" i="2"/>
  <c r="C24" i="1"/>
  <c r="Y26" i="2"/>
  <c r="W26" i="2"/>
  <c r="X26" i="2"/>
  <c r="AC26" i="2"/>
  <c r="N26" i="2"/>
  <c r="C19" i="1"/>
  <c r="Y18" i="2"/>
  <c r="W18" i="2"/>
  <c r="X18" i="2"/>
  <c r="AC18" i="2"/>
  <c r="N18" i="2"/>
  <c r="C10" i="1"/>
  <c r="N10" i="2"/>
  <c r="Y10" i="2"/>
  <c r="W10" i="2"/>
  <c r="X10" i="2"/>
  <c r="AC10" i="2"/>
  <c r="AE27" i="2"/>
  <c r="AA27" i="2"/>
  <c r="AE19" i="2"/>
  <c r="AA19" i="2"/>
  <c r="AE11" i="2"/>
  <c r="AA11" i="2"/>
  <c r="J34" i="2"/>
  <c r="J35" i="2" s="1"/>
  <c r="Z31" i="2"/>
  <c r="AD31" i="2"/>
  <c r="Z23" i="2"/>
  <c r="AD23" i="2"/>
  <c r="Z15" i="2"/>
  <c r="AD15" i="2"/>
  <c r="Z7" i="2"/>
  <c r="AD7" i="2"/>
  <c r="N25" i="2"/>
  <c r="Y25" i="2"/>
  <c r="W25" i="2"/>
  <c r="X25" i="2"/>
  <c r="AC25" i="2"/>
  <c r="C23" i="1"/>
  <c r="C16" i="1"/>
  <c r="Y17" i="2"/>
  <c r="N17" i="2"/>
  <c r="W17" i="2"/>
  <c r="X17" i="2"/>
  <c r="AC17" i="2"/>
  <c r="C9" i="1"/>
  <c r="N9" i="2"/>
  <c r="Y9" i="2"/>
  <c r="W9" i="2"/>
  <c r="X9" i="2"/>
  <c r="AC9" i="2"/>
  <c r="AE26" i="2"/>
  <c r="AA26" i="2"/>
  <c r="AE18" i="2"/>
  <c r="AA18" i="2"/>
  <c r="AE10" i="2"/>
  <c r="AA10" i="2"/>
  <c r="Z30" i="2"/>
  <c r="AD30" i="2"/>
  <c r="Z22" i="2"/>
  <c r="AD22" i="2"/>
  <c r="Z14" i="2"/>
  <c r="AD14" i="2"/>
  <c r="Z5" i="2"/>
  <c r="AD5" i="2"/>
  <c r="C32" i="1"/>
  <c r="N32" i="2"/>
  <c r="Y32" i="2"/>
  <c r="W32" i="2"/>
  <c r="X32" i="2"/>
  <c r="AC32" i="2"/>
  <c r="AG32" i="2" s="1"/>
  <c r="R32" i="1" s="1"/>
  <c r="Y24" i="2"/>
  <c r="W24" i="2"/>
  <c r="X24" i="2"/>
  <c r="N24" i="2"/>
  <c r="AC24" i="2"/>
  <c r="C22" i="1"/>
  <c r="Y16" i="2"/>
  <c r="N16" i="2"/>
  <c r="W16" i="2"/>
  <c r="X16" i="2"/>
  <c r="AC16" i="2"/>
  <c r="C6" i="1"/>
  <c r="N8" i="2"/>
  <c r="Y8" i="2"/>
  <c r="W8" i="2"/>
  <c r="X8" i="2"/>
  <c r="AC8" i="2"/>
  <c r="C7" i="1"/>
  <c r="AA2" i="2"/>
  <c r="I34" i="2"/>
  <c r="I35" i="2" s="1"/>
  <c r="AA25" i="2"/>
  <c r="AE25" i="2"/>
  <c r="AA17" i="2"/>
  <c r="AE17" i="2"/>
  <c r="AA9" i="2"/>
  <c r="AE9" i="2"/>
  <c r="Z29" i="2"/>
  <c r="AD29" i="2"/>
  <c r="Z21" i="2"/>
  <c r="AD21" i="2"/>
  <c r="Z13" i="2"/>
  <c r="AD13" i="2"/>
  <c r="AD4" i="2"/>
  <c r="Z4" i="2"/>
  <c r="Y31" i="2"/>
  <c r="X31" i="2"/>
  <c r="N31" i="2"/>
  <c r="W31" i="2"/>
  <c r="AC31" i="2"/>
  <c r="C31" i="1"/>
  <c r="Y23" i="2"/>
  <c r="N23" i="2"/>
  <c r="W23" i="2"/>
  <c r="X23" i="2"/>
  <c r="C28" i="1"/>
  <c r="AC23" i="2"/>
  <c r="Y15" i="2"/>
  <c r="N15" i="2"/>
  <c r="W15" i="2"/>
  <c r="X15" i="2"/>
  <c r="AC15" i="2"/>
  <c r="C15" i="1"/>
  <c r="C8" i="1"/>
  <c r="Y7" i="2"/>
  <c r="W7" i="2"/>
  <c r="X7" i="2"/>
  <c r="N7" i="2"/>
  <c r="AC7" i="2"/>
  <c r="H34" i="2"/>
  <c r="H35" i="2" s="1"/>
  <c r="AA32" i="2"/>
  <c r="AE32" i="2"/>
  <c r="AA24" i="2"/>
  <c r="AE24" i="2"/>
  <c r="AA16" i="2"/>
  <c r="AE16" i="2"/>
  <c r="AA8" i="2"/>
  <c r="AE8" i="2"/>
  <c r="AD28" i="2"/>
  <c r="Z28" i="2"/>
  <c r="AD20" i="2"/>
  <c r="Z20" i="2"/>
  <c r="AD12" i="2"/>
  <c r="Z12" i="2"/>
  <c r="AD3" i="2"/>
  <c r="Z3" i="2"/>
  <c r="Y30" i="2"/>
  <c r="W30" i="2"/>
  <c r="X30" i="2"/>
  <c r="N30" i="2"/>
  <c r="AC30" i="2"/>
  <c r="C30" i="1"/>
  <c r="Y22" i="2"/>
  <c r="W22" i="2"/>
  <c r="X22" i="2"/>
  <c r="N22" i="2"/>
  <c r="AC22" i="2"/>
  <c r="AG22" i="2" s="1"/>
  <c r="R21" i="1" s="1"/>
  <c r="C21" i="1"/>
  <c r="Y14" i="2"/>
  <c r="W14" i="2"/>
  <c r="X14" i="2"/>
  <c r="N14" i="2"/>
  <c r="AC14" i="2"/>
  <c r="C14" i="1"/>
  <c r="W5" i="2"/>
  <c r="X5" i="2"/>
  <c r="AC5" i="2"/>
  <c r="C5" i="1"/>
  <c r="Y5" i="2"/>
  <c r="N5" i="2"/>
  <c r="E34" i="2"/>
  <c r="E35" i="2" s="1"/>
  <c r="G34" i="2"/>
  <c r="G35" i="2" s="1"/>
  <c r="AA31" i="2"/>
  <c r="AE31" i="2"/>
  <c r="AA23" i="2"/>
  <c r="AE23" i="2"/>
  <c r="AA15" i="2"/>
  <c r="AE15" i="2"/>
  <c r="AA7" i="2"/>
  <c r="AE7" i="2"/>
  <c r="AD27" i="2"/>
  <c r="Z27" i="2"/>
  <c r="AD19" i="2"/>
  <c r="Z19" i="2"/>
  <c r="AD11" i="2"/>
  <c r="Z11" i="2"/>
  <c r="AD2" i="2"/>
  <c r="AE2" i="2"/>
  <c r="Z2" i="2"/>
  <c r="AG23" i="2" l="1"/>
  <c r="R28" i="1" s="1"/>
  <c r="AG16" i="2"/>
  <c r="R6" i="1" s="1"/>
  <c r="AG31" i="2"/>
  <c r="R31" i="1" s="1"/>
  <c r="AG28" i="2"/>
  <c r="R26" i="1" s="1"/>
  <c r="AG13" i="2"/>
  <c r="R13" i="1" s="1"/>
  <c r="AG25" i="2"/>
  <c r="R23" i="1" s="1"/>
  <c r="AG27" i="2"/>
  <c r="R25" i="1" s="1"/>
  <c r="AG14" i="2"/>
  <c r="R14" i="1" s="1"/>
  <c r="AG24" i="2"/>
  <c r="R22" i="1" s="1"/>
  <c r="AG17" i="2"/>
  <c r="R16" i="1" s="1"/>
  <c r="AG20" i="2"/>
  <c r="R18" i="1" s="1"/>
  <c r="AG26" i="2"/>
  <c r="R24" i="1" s="1"/>
  <c r="AG19" i="2"/>
  <c r="R17" i="1" s="1"/>
  <c r="AG9" i="2"/>
  <c r="R9" i="1" s="1"/>
  <c r="AG12" i="2"/>
  <c r="R12" i="1" s="1"/>
  <c r="AG4" i="2"/>
  <c r="R4" i="1" s="1"/>
  <c r="AG29" i="2"/>
  <c r="R29" i="1" s="1"/>
  <c r="AG7" i="2"/>
  <c r="R8" i="1" s="1"/>
  <c r="AG18" i="2"/>
  <c r="R19" i="1" s="1"/>
  <c r="AG11" i="2"/>
  <c r="R11" i="1" s="1"/>
  <c r="AG15" i="2"/>
  <c r="R15" i="1" s="1"/>
  <c r="AG5" i="2"/>
  <c r="R5" i="1" s="1"/>
  <c r="AG30" i="2"/>
  <c r="R30" i="1" s="1"/>
  <c r="AG8" i="2"/>
  <c r="R7" i="1" s="1"/>
  <c r="AG10" i="2"/>
  <c r="R10" i="1" s="1"/>
  <c r="AG3" i="2"/>
  <c r="R3" i="1" s="1"/>
  <c r="AG21" i="2"/>
  <c r="R20" i="1" s="1"/>
  <c r="J3" i="1"/>
  <c r="G3" i="1"/>
  <c r="U3" i="1" s="1"/>
  <c r="J28" i="1"/>
  <c r="G28" i="1"/>
  <c r="U28" i="1" s="1"/>
  <c r="G30" i="1"/>
  <c r="U30" i="1" s="1"/>
  <c r="J30" i="1"/>
  <c r="G31" i="1"/>
  <c r="U31" i="1" s="1"/>
  <c r="J31" i="1"/>
  <c r="G29" i="1"/>
  <c r="U29" i="1" s="1"/>
  <c r="J29" i="1"/>
  <c r="J9" i="1"/>
  <c r="G9" i="1"/>
  <c r="U9" i="1" s="1"/>
  <c r="G11" i="1"/>
  <c r="U11" i="1" s="1"/>
  <c r="J11" i="1"/>
  <c r="G5" i="1"/>
  <c r="U5" i="1" s="1"/>
  <c r="J5" i="1"/>
  <c r="G27" i="1"/>
  <c r="U27" i="1" s="1"/>
  <c r="J27" i="1"/>
  <c r="G22" i="1"/>
  <c r="U22" i="1" s="1"/>
  <c r="J22" i="1"/>
  <c r="J4" i="1"/>
  <c r="G4" i="1"/>
  <c r="U4" i="1" s="1"/>
  <c r="J10" i="1"/>
  <c r="G10" i="1"/>
  <c r="U10" i="1" s="1"/>
  <c r="J12" i="1"/>
  <c r="G12" i="1"/>
  <c r="U12" i="1" s="1"/>
  <c r="G15" i="1"/>
  <c r="U15" i="1" s="1"/>
  <c r="J15" i="1"/>
  <c r="J18" i="1"/>
  <c r="G18" i="1"/>
  <c r="U18" i="1" s="1"/>
  <c r="J7" i="1"/>
  <c r="G7" i="1"/>
  <c r="U7" i="1" s="1"/>
  <c r="G19" i="1"/>
  <c r="U19" i="1" s="1"/>
  <c r="J19" i="1"/>
  <c r="J17" i="1"/>
  <c r="G17" i="1"/>
  <c r="U17" i="1" s="1"/>
  <c r="G13" i="1"/>
  <c r="U13" i="1" s="1"/>
  <c r="J13" i="1"/>
  <c r="G14" i="1"/>
  <c r="U14" i="1" s="1"/>
  <c r="J14" i="1"/>
  <c r="G6" i="1"/>
  <c r="U6" i="1" s="1"/>
  <c r="J6" i="1"/>
  <c r="J26" i="1"/>
  <c r="G26" i="1"/>
  <c r="U26" i="1" s="1"/>
  <c r="G21" i="1"/>
  <c r="U21" i="1" s="1"/>
  <c r="J21" i="1"/>
  <c r="J32" i="1"/>
  <c r="G32" i="1"/>
  <c r="U32" i="1" s="1"/>
  <c r="J16" i="1"/>
  <c r="G16" i="1"/>
  <c r="U16" i="1" s="1"/>
  <c r="G23" i="1"/>
  <c r="U23" i="1" s="1"/>
  <c r="J23" i="1"/>
  <c r="J24" i="1"/>
  <c r="G24" i="1"/>
  <c r="U24" i="1" s="1"/>
  <c r="J25" i="1"/>
  <c r="G25" i="1"/>
  <c r="U25" i="1" s="1"/>
  <c r="J20" i="1"/>
  <c r="G20" i="1"/>
  <c r="U20" i="1" s="1"/>
  <c r="J8" i="1"/>
  <c r="G8" i="1"/>
  <c r="U8" i="1" s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2" i="6"/>
  <c r="C2" i="6"/>
  <c r="C30" i="6"/>
  <c r="C31" i="6"/>
  <c r="C32" i="6"/>
  <c r="C33" i="6"/>
  <c r="C29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H77" i="4"/>
  <c r="H76" i="4"/>
  <c r="H74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6" i="4"/>
  <c r="H55" i="4"/>
  <c r="H54" i="4"/>
  <c r="H52" i="4"/>
  <c r="H51" i="4"/>
  <c r="H50" i="4"/>
  <c r="H49" i="4"/>
  <c r="H45" i="4"/>
  <c r="H46" i="4"/>
  <c r="H47" i="4"/>
  <c r="H44" i="4"/>
  <c r="H42" i="4"/>
  <c r="H41" i="4"/>
  <c r="H40" i="4"/>
  <c r="H39" i="4"/>
  <c r="H32" i="4"/>
  <c r="E28" i="6" l="1"/>
  <c r="L32" i="1" s="1"/>
  <c r="E20" i="6"/>
  <c r="L22" i="1" s="1"/>
  <c r="E27" i="6"/>
  <c r="L31" i="1" s="1"/>
  <c r="E26" i="6"/>
  <c r="L30" i="1" s="1"/>
  <c r="E18" i="6"/>
  <c r="L20" i="1" s="1"/>
  <c r="E10" i="6"/>
  <c r="L10" i="1" s="1"/>
  <c r="E21" i="6"/>
  <c r="L23" i="1" s="1"/>
  <c r="E13" i="6"/>
  <c r="L15" i="1" s="1"/>
  <c r="E5" i="6"/>
  <c r="L4" i="1" s="1"/>
  <c r="E12" i="6"/>
  <c r="L14" i="1" s="1"/>
  <c r="E7" i="6"/>
  <c r="L27" i="1" s="1"/>
  <c r="C10" i="5"/>
  <c r="C31" i="5"/>
  <c r="E29" i="6"/>
  <c r="L2" i="1" s="1"/>
  <c r="C41" i="5"/>
  <c r="C38" i="5"/>
  <c r="E23" i="6"/>
  <c r="L25" i="1" s="1"/>
  <c r="E31" i="6"/>
  <c r="L13" i="1" s="1"/>
  <c r="E24" i="6"/>
  <c r="L26" i="1" s="1"/>
  <c r="E16" i="6"/>
  <c r="L19" i="1" s="1"/>
  <c r="E15" i="6"/>
  <c r="L16" i="1" s="1"/>
  <c r="E25" i="6"/>
  <c r="L29" i="1" s="1"/>
  <c r="E17" i="6"/>
  <c r="L21" i="1" s="1"/>
  <c r="E9" i="6"/>
  <c r="L9" i="1" s="1"/>
  <c r="E22" i="6"/>
  <c r="L24" i="1" s="1"/>
  <c r="E14" i="6"/>
  <c r="L6" i="1" s="1"/>
  <c r="E6" i="6"/>
  <c r="L5" i="1" s="1"/>
  <c r="E8" i="6"/>
  <c r="L8" i="1" s="1"/>
  <c r="E30" i="6"/>
  <c r="L11" i="1" s="1"/>
  <c r="D34" i="6"/>
  <c r="C34" i="6"/>
  <c r="E2" i="6"/>
  <c r="L3" i="1" s="1"/>
  <c r="E19" i="6"/>
  <c r="L28" i="1" s="1"/>
  <c r="E11" i="6"/>
  <c r="L12" i="1" s="1"/>
  <c r="E33" i="6"/>
  <c r="L18" i="1" s="1"/>
  <c r="E32" i="6"/>
  <c r="L17" i="1" s="1"/>
  <c r="C40" i="5" l="1"/>
  <c r="C28" i="5"/>
  <c r="C32" i="5"/>
  <c r="C16" i="5"/>
  <c r="L34" i="1"/>
  <c r="C13" i="5"/>
  <c r="C22" i="5"/>
  <c r="C26" i="5"/>
  <c r="C36" i="5"/>
  <c r="C14" i="5"/>
  <c r="C35" i="5"/>
  <c r="C34" i="5"/>
  <c r="C33" i="5"/>
  <c r="C27" i="5"/>
  <c r="C24" i="5"/>
  <c r="C5" i="5"/>
  <c r="E34" i="6"/>
  <c r="C30" i="5"/>
  <c r="C17" i="5"/>
  <c r="B46" i="2" l="1"/>
  <c r="O5" i="1"/>
  <c r="O10" i="1"/>
  <c r="O11" i="1"/>
  <c r="O16" i="1"/>
  <c r="O18" i="1"/>
  <c r="O20" i="1"/>
  <c r="O28" i="1"/>
  <c r="O32" i="1"/>
  <c r="O3" i="1"/>
  <c r="O4" i="1"/>
  <c r="O6" i="1"/>
  <c r="O8" i="1"/>
  <c r="O9" i="1"/>
  <c r="O12" i="1"/>
  <c r="O13" i="1"/>
  <c r="O14" i="1"/>
  <c r="O15" i="1"/>
  <c r="O17" i="1"/>
  <c r="O21" i="1"/>
  <c r="O22" i="1"/>
  <c r="O23" i="1"/>
  <c r="O24" i="1"/>
  <c r="O25" i="1"/>
  <c r="O26" i="1"/>
  <c r="O27" i="1"/>
  <c r="O29" i="1"/>
  <c r="O30" i="1"/>
  <c r="O31" i="1"/>
  <c r="K3" i="1"/>
  <c r="K4" i="1"/>
  <c r="K5" i="1"/>
  <c r="K7" i="1"/>
  <c r="K8" i="1"/>
  <c r="K9" i="1"/>
  <c r="K10" i="1"/>
  <c r="K12" i="1"/>
  <c r="K13" i="1"/>
  <c r="K15" i="1"/>
  <c r="K16" i="1"/>
  <c r="K17" i="1"/>
  <c r="K18" i="1"/>
  <c r="K19" i="1"/>
  <c r="K20" i="1"/>
  <c r="K21" i="1"/>
  <c r="K23" i="1"/>
  <c r="K24" i="1"/>
  <c r="K26" i="1"/>
  <c r="K27" i="1"/>
  <c r="K28" i="1"/>
  <c r="K29" i="1"/>
  <c r="K31" i="1"/>
  <c r="K32" i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3" i="2"/>
  <c r="P24" i="2"/>
  <c r="P25" i="2"/>
  <c r="P26" i="2"/>
  <c r="P27" i="2"/>
  <c r="P28" i="2"/>
  <c r="P29" i="2"/>
  <c r="P30" i="2"/>
  <c r="P31" i="2"/>
  <c r="P32" i="2"/>
  <c r="U2" i="2"/>
  <c r="T2" i="2"/>
  <c r="S2" i="2"/>
  <c r="R2" i="2"/>
  <c r="Q2" i="2"/>
  <c r="P2" i="2"/>
  <c r="O2" i="2"/>
  <c r="O34" i="2" s="1"/>
  <c r="AB4" i="2" l="1"/>
  <c r="Q4" i="1" s="1"/>
  <c r="AB12" i="2"/>
  <c r="Q12" i="1" s="1"/>
  <c r="AB20" i="2"/>
  <c r="Q18" i="1" s="1"/>
  <c r="R34" i="2"/>
  <c r="AB28" i="2"/>
  <c r="Q26" i="1" s="1"/>
  <c r="AB15" i="2"/>
  <c r="Q15" i="1" s="1"/>
  <c r="AB7" i="2"/>
  <c r="Q8" i="1" s="1"/>
  <c r="AB31" i="2"/>
  <c r="Q31" i="1" s="1"/>
  <c r="AB23" i="2"/>
  <c r="Q28" i="1" s="1"/>
  <c r="AB27" i="2"/>
  <c r="Q25" i="1" s="1"/>
  <c r="AB19" i="2"/>
  <c r="Q17" i="1" s="1"/>
  <c r="AB11" i="2"/>
  <c r="Q11" i="1" s="1"/>
  <c r="AB3" i="2"/>
  <c r="Q3" i="1" s="1"/>
  <c r="T34" i="2"/>
  <c r="AB10" i="2"/>
  <c r="Q10" i="1" s="1"/>
  <c r="S34" i="2"/>
  <c r="AB26" i="2"/>
  <c r="Q24" i="1" s="1"/>
  <c r="AB18" i="2"/>
  <c r="Q19" i="1" s="1"/>
  <c r="AB25" i="2"/>
  <c r="Q23" i="1" s="1"/>
  <c r="AB17" i="2"/>
  <c r="Q16" i="1" s="1"/>
  <c r="AB9" i="2"/>
  <c r="Q9" i="1" s="1"/>
  <c r="AB24" i="2"/>
  <c r="Q22" i="1" s="1"/>
  <c r="AB16" i="2"/>
  <c r="Q6" i="1" s="1"/>
  <c r="AB8" i="2"/>
  <c r="Q7" i="1" s="1"/>
  <c r="AB32" i="2"/>
  <c r="Q32" i="1" s="1"/>
  <c r="AB30" i="2"/>
  <c r="Q30" i="1" s="1"/>
  <c r="AB14" i="2"/>
  <c r="Q14" i="1" s="1"/>
  <c r="AB6" i="2"/>
  <c r="Q27" i="1" s="1"/>
  <c r="Q34" i="2"/>
  <c r="AB29" i="2"/>
  <c r="Q29" i="1" s="1"/>
  <c r="AB21" i="2"/>
  <c r="Q20" i="1" s="1"/>
  <c r="AB13" i="2"/>
  <c r="Q13" i="1" s="1"/>
  <c r="AB5" i="2"/>
  <c r="Q5" i="1" s="1"/>
  <c r="K25" i="1"/>
  <c r="K30" i="1"/>
  <c r="K22" i="1"/>
  <c r="K14" i="1"/>
  <c r="K6" i="1"/>
  <c r="P32" i="1"/>
  <c r="P16" i="1"/>
  <c r="P21" i="1"/>
  <c r="P5" i="1"/>
  <c r="P28" i="1"/>
  <c r="P20" i="1"/>
  <c r="K11" i="1"/>
  <c r="P12" i="1"/>
  <c r="P4" i="1"/>
  <c r="O2" i="1"/>
  <c r="P3" i="1"/>
  <c r="P23" i="1"/>
  <c r="P9" i="1"/>
  <c r="P15" i="1"/>
  <c r="P13" i="1"/>
  <c r="P31" i="1"/>
  <c r="P26" i="1"/>
  <c r="P10" i="1"/>
  <c r="P18" i="1"/>
  <c r="P17" i="1"/>
  <c r="P24" i="1"/>
  <c r="P8" i="1"/>
  <c r="P29" i="1"/>
  <c r="P27" i="1"/>
  <c r="S16" i="1" l="1"/>
  <c r="S32" i="1"/>
  <c r="S10" i="1"/>
  <c r="S26" i="1"/>
  <c r="S4" i="1"/>
  <c r="S27" i="1"/>
  <c r="S31" i="1"/>
  <c r="S12" i="1"/>
  <c r="S9" i="1"/>
  <c r="S29" i="1"/>
  <c r="S13" i="1"/>
  <c r="S28" i="1"/>
  <c r="S8" i="1"/>
  <c r="S15" i="1"/>
  <c r="S20" i="1"/>
  <c r="S24" i="1"/>
  <c r="S17" i="1"/>
  <c r="S23" i="1"/>
  <c r="S5" i="1"/>
  <c r="S18" i="1"/>
  <c r="S3" i="1"/>
  <c r="P25" i="1"/>
  <c r="P11" i="1"/>
  <c r="P14" i="1"/>
  <c r="P22" i="1"/>
  <c r="P6" i="1"/>
  <c r="P30" i="1"/>
  <c r="O19" i="1"/>
  <c r="O7" i="1"/>
  <c r="S22" i="1" l="1"/>
  <c r="S30" i="1"/>
  <c r="S14" i="1"/>
  <c r="S11" i="1"/>
  <c r="S6" i="1"/>
  <c r="S25" i="1"/>
  <c r="O34" i="1"/>
  <c r="P19" i="1"/>
  <c r="P7" i="1"/>
  <c r="S19" i="1" l="1"/>
  <c r="S7" i="1"/>
  <c r="F34" i="2"/>
  <c r="F36" i="2" s="1"/>
  <c r="P22" i="2"/>
  <c r="AB22" i="2" s="1"/>
  <c r="P34" i="2" l="1"/>
  <c r="Q21" i="1"/>
  <c r="S21" i="1" l="1"/>
  <c r="C11" i="2" l="1"/>
  <c r="M11" i="2" s="1"/>
  <c r="C13" i="2"/>
  <c r="M13" i="2" s="1"/>
  <c r="C19" i="2"/>
  <c r="M19" i="2" s="1"/>
  <c r="C20" i="2"/>
  <c r="M20" i="2" s="1"/>
  <c r="C3" i="2"/>
  <c r="M3" i="2" s="1"/>
  <c r="C4" i="2"/>
  <c r="M4" i="2" s="1"/>
  <c r="C8" i="2"/>
  <c r="M8" i="2" s="1"/>
  <c r="C9" i="2"/>
  <c r="M9" i="2" s="1"/>
  <c r="C12" i="2"/>
  <c r="M12" i="2" s="1"/>
  <c r="C5" i="2"/>
  <c r="M5" i="2" s="1"/>
  <c r="C14" i="2"/>
  <c r="M14" i="2" s="1"/>
  <c r="C15" i="2"/>
  <c r="M15" i="2" s="1"/>
  <c r="C18" i="2"/>
  <c r="M18" i="2" s="1"/>
  <c r="C24" i="2"/>
  <c r="M24" i="2" s="1"/>
  <c r="C25" i="2"/>
  <c r="M25" i="2" s="1"/>
  <c r="C26" i="2"/>
  <c r="M26" i="2" s="1"/>
  <c r="C27" i="2"/>
  <c r="M27" i="2" s="1"/>
  <c r="C28" i="2"/>
  <c r="M28" i="2" s="1"/>
  <c r="C29" i="2"/>
  <c r="M29" i="2" s="1"/>
  <c r="C31" i="2"/>
  <c r="M31" i="2" s="1"/>
  <c r="C6" i="2"/>
  <c r="M6" i="2" s="1"/>
  <c r="C10" i="2"/>
  <c r="M10" i="2" s="1"/>
  <c r="C22" i="2"/>
  <c r="M22" i="2" s="1"/>
  <c r="C21" i="2"/>
  <c r="M21" i="2" s="1"/>
  <c r="C30" i="2"/>
  <c r="M30" i="2" s="1"/>
  <c r="C32" i="2"/>
  <c r="M32" i="2" s="1"/>
  <c r="C7" i="2"/>
  <c r="M7" i="2" s="1"/>
  <c r="C17" i="2"/>
  <c r="M17" i="2" s="1"/>
  <c r="C23" i="2"/>
  <c r="M23" i="2" s="1"/>
  <c r="C16" i="2"/>
  <c r="M16" i="2" s="1"/>
  <c r="C2" i="2"/>
  <c r="D2" i="2"/>
  <c r="C34" i="2" l="1"/>
  <c r="C35" i="2" s="1"/>
  <c r="M2" i="2"/>
  <c r="M34" i="2" s="1"/>
  <c r="D34" i="2"/>
  <c r="D35" i="2" s="1"/>
  <c r="Y2" i="2"/>
  <c r="C2" i="1"/>
  <c r="AC2" i="2"/>
  <c r="N2" i="2"/>
  <c r="W2" i="2"/>
  <c r="W34" i="2" s="1"/>
  <c r="X2" i="2"/>
  <c r="X34" i="2" s="1"/>
  <c r="N34" i="2" l="1"/>
  <c r="AB2" i="2"/>
  <c r="AG2" i="2"/>
  <c r="AC34" i="2"/>
  <c r="C34" i="1"/>
  <c r="J2" i="1"/>
  <c r="G2" i="1"/>
  <c r="G34" i="1" l="1"/>
  <c r="U34" i="1" s="1"/>
  <c r="U2" i="1"/>
  <c r="K2" i="1"/>
  <c r="R2" i="1"/>
  <c r="R34" i="1" s="1"/>
  <c r="AG34" i="2"/>
  <c r="Q2" i="1"/>
  <c r="Q34" i="1" s="1"/>
  <c r="AB34" i="2"/>
  <c r="P2" i="1" l="1"/>
  <c r="K34" i="1"/>
  <c r="E39" i="1" s="1"/>
  <c r="S2" i="1" l="1"/>
  <c r="S34" i="1" s="1"/>
  <c r="P34" i="1"/>
</calcChain>
</file>

<file path=xl/sharedStrings.xml><?xml version="1.0" encoding="utf-8"?>
<sst xmlns="http://schemas.openxmlformats.org/spreadsheetml/2006/main" count="1229" uniqueCount="349">
  <si>
    <t>Department</t>
  </si>
  <si>
    <t>Gross Revenues</t>
  </si>
  <si>
    <t>Net Revenue</t>
  </si>
  <si>
    <t>Total Indirect Costs</t>
  </si>
  <si>
    <t>Accounting</t>
  </si>
  <si>
    <t>BUS</t>
  </si>
  <si>
    <t>Biology</t>
  </si>
  <si>
    <t>CAS</t>
  </si>
  <si>
    <t>Chemistry</t>
  </si>
  <si>
    <t>LAW</t>
  </si>
  <si>
    <t>Counseling</t>
  </si>
  <si>
    <t>CNH</t>
  </si>
  <si>
    <t>Design</t>
  </si>
  <si>
    <t>CMM</t>
  </si>
  <si>
    <t>Economics</t>
  </si>
  <si>
    <t>English</t>
  </si>
  <si>
    <t>Finance</t>
  </si>
  <si>
    <t>History</t>
  </si>
  <si>
    <t>Languages and Cultures</t>
  </si>
  <si>
    <t>Management</t>
  </si>
  <si>
    <t>Marketing</t>
  </si>
  <si>
    <t>Music</t>
  </si>
  <si>
    <t>Philosophy</t>
  </si>
  <si>
    <t>Physics</t>
  </si>
  <si>
    <t>Political Science</t>
  </si>
  <si>
    <t>Psychology</t>
  </si>
  <si>
    <t>Religious Studies</t>
  </si>
  <si>
    <t>Sociology</t>
  </si>
  <si>
    <t>Studio Art</t>
  </si>
  <si>
    <t>Grand Total</t>
  </si>
  <si>
    <t>Languages</t>
  </si>
  <si>
    <t>Law</t>
  </si>
  <si>
    <t>Math</t>
  </si>
  <si>
    <t>Nursing</t>
  </si>
  <si>
    <t>Theatre</t>
  </si>
  <si>
    <t>Communication</t>
  </si>
  <si>
    <t>Computer Science</t>
  </si>
  <si>
    <t>Criminal Justice</t>
  </si>
  <si>
    <t>Music Industry</t>
  </si>
  <si>
    <t>Teacher Education</t>
  </si>
  <si>
    <t>LW</t>
  </si>
  <si>
    <t>Faculty</t>
  </si>
  <si>
    <t>Students</t>
  </si>
  <si>
    <t>Undergrad</t>
  </si>
  <si>
    <t>Graduates - no law</t>
  </si>
  <si>
    <t>Business</t>
  </si>
  <si>
    <t>Non-Law</t>
  </si>
  <si>
    <t>Dorms</t>
  </si>
  <si>
    <t>Total</t>
  </si>
  <si>
    <t>College</t>
  </si>
  <si>
    <t>Faculty IC</t>
  </si>
  <si>
    <t>Students IC</t>
  </si>
  <si>
    <t>Undergrad IC</t>
  </si>
  <si>
    <t>Graduates - no law IC</t>
  </si>
  <si>
    <t>CAS IC</t>
  </si>
  <si>
    <t>Business IC</t>
  </si>
  <si>
    <t>CMM IC</t>
  </si>
  <si>
    <t>Non-Law IC</t>
  </si>
  <si>
    <t>Law IC</t>
  </si>
  <si>
    <t>UL + Honors</t>
  </si>
  <si>
    <t>Magis Direct Costs</t>
  </si>
  <si>
    <t>Magis IC</t>
  </si>
  <si>
    <t>Aux Costs</t>
  </si>
  <si>
    <t>Aux Revenues</t>
  </si>
  <si>
    <t>Endowed Scholarships</t>
  </si>
  <si>
    <t>Debt Expense</t>
  </si>
  <si>
    <t>Net Total Revenue</t>
  </si>
  <si>
    <t>Costs</t>
  </si>
  <si>
    <t>Summer Revenue</t>
  </si>
  <si>
    <t>Summer Direct Costs</t>
  </si>
  <si>
    <t>Total Direct Costs</t>
  </si>
  <si>
    <t>Gross Margins</t>
  </si>
  <si>
    <t>Non Faculty Revenues</t>
  </si>
  <si>
    <t>Total Aux Revenues</t>
  </si>
  <si>
    <t>Total Auxiliary Revenues</t>
  </si>
  <si>
    <t>Net Profits</t>
  </si>
  <si>
    <t>Other Revenue</t>
  </si>
  <si>
    <t>Other Indirect Costs</t>
  </si>
  <si>
    <t>Account</t>
  </si>
  <si>
    <t>Funct</t>
  </si>
  <si>
    <t>Func Class</t>
  </si>
  <si>
    <t>Department Name</t>
  </si>
  <si>
    <t>Program</t>
  </si>
  <si>
    <t>Note</t>
  </si>
  <si>
    <t>Allocated to</t>
  </si>
  <si>
    <t>TOTAL</t>
  </si>
  <si>
    <t>Row Labels</t>
  </si>
  <si>
    <t>Sum of TOTAL</t>
  </si>
  <si>
    <t>IN</t>
  </si>
  <si>
    <t>Prof &amp; Continuing Studies</t>
  </si>
  <si>
    <t>IC</t>
  </si>
  <si>
    <t>AUX</t>
  </si>
  <si>
    <t xml:space="preserve">Honors </t>
  </si>
  <si>
    <t>Undergraduates</t>
  </si>
  <si>
    <t>National Fellow</t>
  </si>
  <si>
    <t>African &amp; A.A. Studies</t>
  </si>
  <si>
    <t>Interdisciplinary CAS</t>
  </si>
  <si>
    <t>Zero dollar account, belongs to Deans office not to a department because interdisciplinary program</t>
  </si>
  <si>
    <t>American Studies</t>
  </si>
  <si>
    <t>Excluded (covered in Discount)</t>
  </si>
  <si>
    <t>COB</t>
  </si>
  <si>
    <t>Film Studies</t>
  </si>
  <si>
    <t>Excluded Auxillary Direct Expense</t>
  </si>
  <si>
    <t>DC</t>
  </si>
  <si>
    <t>Legal Studies</t>
  </si>
  <si>
    <t>DISC</t>
  </si>
  <si>
    <t>Mid East Peace Studies</t>
  </si>
  <si>
    <t>Belongs to Deans office not to a department because interdisciplinary program</t>
  </si>
  <si>
    <t>Graduates Non-Law</t>
  </si>
  <si>
    <t>Asian Studies</t>
  </si>
  <si>
    <t>Catholic Studies</t>
  </si>
  <si>
    <t>No Law</t>
  </si>
  <si>
    <t>NA</t>
  </si>
  <si>
    <t>Computational Studies</t>
  </si>
  <si>
    <t>Summer</t>
  </si>
  <si>
    <t>New Orleans Studies</t>
  </si>
  <si>
    <t>Women's Studies</t>
  </si>
  <si>
    <t>Magis New</t>
  </si>
  <si>
    <t>Latin American Studies</t>
  </si>
  <si>
    <t>Latin Caribbean</t>
  </si>
  <si>
    <t>Medieval Studies</t>
  </si>
  <si>
    <t>interdisciplinary CAS</t>
  </si>
  <si>
    <t>Intensive English</t>
  </si>
  <si>
    <t>Auxillary Enterprise- Loyola Intensive English Program</t>
  </si>
  <si>
    <t>Center for Study of New Orleans</t>
  </si>
  <si>
    <t>Summer Instructional</t>
  </si>
  <si>
    <t>Food Studies</t>
  </si>
  <si>
    <t>Should be tagged to undergraduates</t>
  </si>
  <si>
    <t>Environmental Studies</t>
  </si>
  <si>
    <t>Classics</t>
  </si>
  <si>
    <t>Chemistry/Biochem</t>
  </si>
  <si>
    <t>Language Lab</t>
  </si>
  <si>
    <t>Replaced by Student Success Center, Dead account</t>
  </si>
  <si>
    <t>Writing Lab</t>
  </si>
  <si>
    <t>Writing Across Curriculum</t>
  </si>
  <si>
    <t>Math Center</t>
  </si>
  <si>
    <t>AS</t>
  </si>
  <si>
    <t>Walker Percy Writing</t>
  </si>
  <si>
    <t>LIM</t>
  </si>
  <si>
    <t>LIM Online</t>
  </si>
  <si>
    <t>HCSM Online</t>
  </si>
  <si>
    <t>DNP Prog</t>
  </si>
  <si>
    <t>Nursing - BSN EXT</t>
  </si>
  <si>
    <t xml:space="preserve">Nursing </t>
  </si>
  <si>
    <t>Mass Communication</t>
  </si>
  <si>
    <t>Communications</t>
  </si>
  <si>
    <t>Nurse Educator</t>
  </si>
  <si>
    <t>Nurse Practitioner</t>
  </si>
  <si>
    <t>Nurse BSN to DNP</t>
  </si>
  <si>
    <t>Environmental Communication</t>
  </si>
  <si>
    <t>Mast Crim Justice on line</t>
  </si>
  <si>
    <t>Business Instructional</t>
  </si>
  <si>
    <t>This is multiple programs we may need to discuss Accounting, Decision Science, Entreprenuership, International Business, Management, and Marketing</t>
  </si>
  <si>
    <t>Business Exec Program</t>
  </si>
  <si>
    <t>Art History</t>
  </si>
  <si>
    <t>Graphic Design</t>
  </si>
  <si>
    <t>Opera Workshop</t>
  </si>
  <si>
    <t>Music Instructional</t>
  </si>
  <si>
    <t>Music Education</t>
  </si>
  <si>
    <t>Music Therapy</t>
  </si>
  <si>
    <t>Music Keyboard</t>
  </si>
  <si>
    <t>Music History</t>
  </si>
  <si>
    <t>Music Theory &amp; Comp</t>
  </si>
  <si>
    <t>Theatre Arts &amp; Dance</t>
  </si>
  <si>
    <t>Theatre Production</t>
  </si>
  <si>
    <t>Choir</t>
  </si>
  <si>
    <t>Jazz</t>
  </si>
  <si>
    <t>IS</t>
  </si>
  <si>
    <t>Dist Univ</t>
  </si>
  <si>
    <t>Film/Music Industry</t>
  </si>
  <si>
    <t>Ballet</t>
  </si>
  <si>
    <t>interdisciplinary CMM</t>
  </si>
  <si>
    <t>Zero dollar account, belongs to CMM Dean, Interdisciplinary</t>
  </si>
  <si>
    <t>Band</t>
  </si>
  <si>
    <t>Orchestra</t>
  </si>
  <si>
    <t>School of Music</t>
  </si>
  <si>
    <t>Law Instructional</t>
  </si>
  <si>
    <t>LLM</t>
  </si>
  <si>
    <t>Law Summer Research</t>
  </si>
  <si>
    <t>Continuing Legal Ed</t>
  </si>
  <si>
    <t>Law Skills</t>
  </si>
  <si>
    <t>Nursing-Off Campus Learning</t>
  </si>
  <si>
    <t>Summer Bridge</t>
  </si>
  <si>
    <t>Program no longer exists</t>
  </si>
  <si>
    <t>Service Learning Center</t>
  </si>
  <si>
    <t>PO Liquidation</t>
  </si>
  <si>
    <t>Not sure what this is but zero dollar account</t>
  </si>
  <si>
    <t>PS</t>
  </si>
  <si>
    <t>Twomey Center</t>
  </si>
  <si>
    <t>Common Good</t>
  </si>
  <si>
    <t>BOGGS Literacy Center</t>
  </si>
  <si>
    <t>RE</t>
  </si>
  <si>
    <t>Grants: Course / Prof Dev</t>
  </si>
  <si>
    <t>Grants: Faculty Research</t>
  </si>
  <si>
    <t>Marquette Fellows</t>
  </si>
  <si>
    <t>Grants: Research Office</t>
  </si>
  <si>
    <t>SBDC Local Match</t>
  </si>
  <si>
    <t>Law Clinic</t>
  </si>
  <si>
    <t>Yamauchi Lecture</t>
  </si>
  <si>
    <t>Biever Guest Lecturer</t>
  </si>
  <si>
    <t>Women's Resource Center</t>
  </si>
  <si>
    <t>Film Buffs</t>
  </si>
  <si>
    <t>Center:Faculty Innovation</t>
  </si>
  <si>
    <t>Monroe Library</t>
  </si>
  <si>
    <t>Information Resources</t>
  </si>
  <si>
    <t>Dean - College of Arts &amp; Sciences</t>
  </si>
  <si>
    <t>Dean - Social Sciences</t>
  </si>
  <si>
    <t>Dean - Business</t>
  </si>
  <si>
    <t>Dean - Music</t>
  </si>
  <si>
    <t>Dean - Law</t>
  </si>
  <si>
    <t>Law Instructional Resources</t>
  </si>
  <si>
    <t>Law Library</t>
  </si>
  <si>
    <t>Trial Advocacy</t>
  </si>
  <si>
    <t>Law Moot Court</t>
  </si>
  <si>
    <t>Loyola Law Review</t>
  </si>
  <si>
    <t>Alt Disp Resolution</t>
  </si>
  <si>
    <t>Dean-Graduate/Prof</t>
  </si>
  <si>
    <t>N O Review</t>
  </si>
  <si>
    <t>QEP Implementation</t>
  </si>
  <si>
    <t>First Year Exp</t>
  </si>
  <si>
    <t>Common Currliculum</t>
  </si>
  <si>
    <t>Continuing Education</t>
  </si>
  <si>
    <t>On-Line Program</t>
  </si>
  <si>
    <t>SS</t>
  </si>
  <si>
    <t>VP Student Life</t>
  </si>
  <si>
    <t>VP Mission &amp; Ministry</t>
  </si>
  <si>
    <t>University Ministry</t>
  </si>
  <si>
    <t>Fac &amp; Staff Dev</t>
  </si>
  <si>
    <t>Ignacio Volunteers</t>
  </si>
  <si>
    <t>M&amp;I Programs</t>
  </si>
  <si>
    <t>Dean Univ Ministry</t>
  </si>
  <si>
    <t>Center for Intl Culture</t>
  </si>
  <si>
    <t>Student Records</t>
  </si>
  <si>
    <t>Admissions</t>
  </si>
  <si>
    <t>Student Success Center</t>
  </si>
  <si>
    <t>Student Financial Services</t>
  </si>
  <si>
    <t>Law Admissions</t>
  </si>
  <si>
    <t>Law Career Services</t>
  </si>
  <si>
    <t>Black Law Studies</t>
  </si>
  <si>
    <t>Center for Intl' Education</t>
  </si>
  <si>
    <t>Counseling Center</t>
  </si>
  <si>
    <t>Career Services</t>
  </si>
  <si>
    <t>CoCurricular Programs</t>
  </si>
  <si>
    <t>Health Services</t>
  </si>
  <si>
    <t>Shuttle Service</t>
  </si>
  <si>
    <t>ID Cards</t>
  </si>
  <si>
    <t>Office of President</t>
  </si>
  <si>
    <t>Pres Inauguration</t>
  </si>
  <si>
    <t>Adm Staff Senate</t>
  </si>
  <si>
    <t>General Counsel</t>
  </si>
  <si>
    <t>Diversity/Inclusion</t>
  </si>
  <si>
    <t>Academic Ombudsperson</t>
  </si>
  <si>
    <t>Searches</t>
  </si>
  <si>
    <t>LAICU</t>
  </si>
  <si>
    <t>Board of Trustees</t>
  </si>
  <si>
    <t>Internal Auditor</t>
  </si>
  <si>
    <t>Governmental Relations</t>
  </si>
  <si>
    <t>VP Academic Affairs</t>
  </si>
  <si>
    <t>Vice Provost</t>
  </si>
  <si>
    <t>Vice Provost #2</t>
  </si>
  <si>
    <t>Institutional Effectiveness</t>
  </si>
  <si>
    <t>SACS Accreditation</t>
  </si>
  <si>
    <t>Diversity Committee</t>
  </si>
  <si>
    <t>Commencement</t>
  </si>
  <si>
    <t>University Senate</t>
  </si>
  <si>
    <t>Institutional Research</t>
  </si>
  <si>
    <t>Chemical Hygiene</t>
  </si>
  <si>
    <t>Gallery</t>
  </si>
  <si>
    <t>Information Technology</t>
  </si>
  <si>
    <t>IT Client Services</t>
  </si>
  <si>
    <t>Computer Programming</t>
  </si>
  <si>
    <t>Computer Operations</t>
  </si>
  <si>
    <t xml:space="preserve">Telecommunications </t>
  </si>
  <si>
    <t>VP Student Affairs</t>
  </si>
  <si>
    <t>Accessible Education</t>
  </si>
  <si>
    <t>VP Finance &amp; Adm</t>
  </si>
  <si>
    <t>Student Account</t>
  </si>
  <si>
    <t>Bursar</t>
  </si>
  <si>
    <t>Financial Affairs</t>
  </si>
  <si>
    <t>DS</t>
  </si>
  <si>
    <t>Debt Service - E &amp; G</t>
  </si>
  <si>
    <t>Emergency Mang</t>
  </si>
  <si>
    <t>Risk Management</t>
  </si>
  <si>
    <t>Human Resources</t>
  </si>
  <si>
    <t>Purchasing</t>
  </si>
  <si>
    <t>University Police</t>
  </si>
  <si>
    <t>Print Services</t>
  </si>
  <si>
    <t>Post Office</t>
  </si>
  <si>
    <t>VP Institutional Adv</t>
  </si>
  <si>
    <t>Adv Research</t>
  </si>
  <si>
    <t>Annual Fund</t>
  </si>
  <si>
    <t>Adv. Records</t>
  </si>
  <si>
    <t>Planned Giving</t>
  </si>
  <si>
    <t>Public Affairs</t>
  </si>
  <si>
    <t>Centennial</t>
  </si>
  <si>
    <t>Publications &amp; Mktg</t>
  </si>
  <si>
    <t>Web Team</t>
  </si>
  <si>
    <t>Alumni</t>
  </si>
  <si>
    <t>Alumni-Campaign</t>
  </si>
  <si>
    <t>Development</t>
  </si>
  <si>
    <t>VP Marketing &amp; Communications</t>
  </si>
  <si>
    <t>Marketing Advertising</t>
  </si>
  <si>
    <t>Capitalized Exp</t>
  </si>
  <si>
    <t>SCH</t>
  </si>
  <si>
    <t>Financial Aid</t>
  </si>
  <si>
    <t>Magis-Instructional</t>
  </si>
  <si>
    <t>These are Magis investments in new faculty positions that should be captured in the salaries in respective departments. Good to verify</t>
  </si>
  <si>
    <t>Magis-Student Service</t>
  </si>
  <si>
    <t>Magis- Inst Support</t>
  </si>
  <si>
    <t>Magis-Auxillary</t>
  </si>
  <si>
    <t>Filming</t>
  </si>
  <si>
    <t>University Police Sales</t>
  </si>
  <si>
    <t>Music Lessons</t>
  </si>
  <si>
    <t>Music Prep Program</t>
  </si>
  <si>
    <t>Roussell Hall</t>
  </si>
  <si>
    <t>Nunemaker</t>
  </si>
  <si>
    <t>Residential Life</t>
  </si>
  <si>
    <t>Founder's Hall</t>
  </si>
  <si>
    <t>Biever Hall</t>
  </si>
  <si>
    <t>Carrollton Hall</t>
  </si>
  <si>
    <t>Buddig Hall</t>
  </si>
  <si>
    <t>Cabra Hall</t>
  </si>
  <si>
    <t xml:space="preserve">Danna Center Revenue </t>
  </si>
  <si>
    <t>University Sports Complex</t>
  </si>
  <si>
    <t>Child Care Center</t>
  </si>
  <si>
    <t>Debt Service - Aux</t>
  </si>
  <si>
    <t>Parking Services</t>
  </si>
  <si>
    <t>xxe</t>
  </si>
  <si>
    <t>PP</t>
  </si>
  <si>
    <t>Physical Plant Allocation</t>
  </si>
  <si>
    <t>xx1</t>
  </si>
  <si>
    <t>CAS Direct</t>
  </si>
  <si>
    <t>Environment</t>
  </si>
  <si>
    <t>BUS Direct</t>
  </si>
  <si>
    <t>Pivot Costs</t>
  </si>
  <si>
    <t>Business Costs</t>
  </si>
  <si>
    <t>CAS Costs</t>
  </si>
  <si>
    <t>Law Direct</t>
  </si>
  <si>
    <t>Law Indirect</t>
  </si>
  <si>
    <t>Dorm Costs</t>
  </si>
  <si>
    <t>Dorm Revenues</t>
  </si>
  <si>
    <t>CMM Aux Costs</t>
  </si>
  <si>
    <t>CMM Aux Rev</t>
  </si>
  <si>
    <t>Direct Costs</t>
  </si>
  <si>
    <t>Total Credits</t>
  </si>
  <si>
    <t>NTR/Credit</t>
  </si>
  <si>
    <t>Digital Filmmaking</t>
  </si>
  <si>
    <t>REVISED SCCH</t>
  </si>
  <si>
    <t>DFM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</si>
</sst>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Blue]General"/>
    <numFmt numFmtId="166" formatCode="&quot;$&quot;#,##0.00"/>
    <numFmt numFmtId="167" formatCode="0.000%"/>
  </numFmts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8" fillId="0" borderId="0"/>
    <xf numFmtId="0" fontId="8" fillId="0" borderId="0">
      <alignment vertical="center"/>
    </xf>
    <xf numFmtId="9" fontId="4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" fillId="3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 vertical="center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165" fontId="6" fillId="0" borderId="5" xfId="1" applyNumberFormat="1" applyFont="1" applyBorder="1" applyAlignment="1" applyProtection="1">
      <alignment horizontal="center" vertical="center"/>
      <protection locked="0"/>
    </xf>
    <xf numFmtId="165" fontId="6" fillId="0" borderId="5" xfId="1" applyNumberFormat="1" applyFont="1" applyBorder="1" applyAlignment="1" applyProtection="1">
      <alignment horizontal="center"/>
      <protection locked="0"/>
    </xf>
    <xf numFmtId="164" fontId="4" fillId="0" borderId="0" xfId="1" applyNumberFormat="1" applyAlignment="1">
      <alignment horizontal="center"/>
    </xf>
    <xf numFmtId="0" fontId="4" fillId="0" borderId="0" xfId="1"/>
    <xf numFmtId="0" fontId="8" fillId="0" borderId="0" xfId="2"/>
    <xf numFmtId="0" fontId="9" fillId="0" borderId="5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left"/>
      <protection locked="0"/>
    </xf>
    <xf numFmtId="0" fontId="4" fillId="7" borderId="0" xfId="1" applyFill="1"/>
    <xf numFmtId="0" fontId="9" fillId="7" borderId="5" xfId="1" applyFont="1" applyFill="1" applyBorder="1" applyAlignment="1" applyProtection="1">
      <alignment horizontal="center" vertical="center"/>
      <protection locked="0"/>
    </xf>
    <xf numFmtId="0" fontId="9" fillId="7" borderId="5" xfId="1" applyFont="1" applyFill="1" applyBorder="1" applyAlignment="1" applyProtection="1">
      <alignment horizontal="left"/>
      <protection locked="0"/>
    </xf>
    <xf numFmtId="164" fontId="4" fillId="7" borderId="0" xfId="1" applyNumberFormat="1" applyFill="1" applyAlignment="1">
      <alignment horizontal="center"/>
    </xf>
    <xf numFmtId="0" fontId="9" fillId="9" borderId="5" xfId="1" applyFont="1" applyFill="1" applyBorder="1" applyAlignment="1" applyProtection="1">
      <alignment horizontal="left"/>
      <protection locked="0"/>
    </xf>
    <xf numFmtId="0" fontId="9" fillId="10" borderId="5" xfId="1" applyFont="1" applyFill="1" applyBorder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0" fontId="4" fillId="0" borderId="5" xfId="1" applyBorder="1" applyAlignment="1">
      <alignment horizontal="center" vertical="center"/>
    </xf>
    <xf numFmtId="0" fontId="4" fillId="0" borderId="5" xfId="1" applyBorder="1"/>
    <xf numFmtId="164" fontId="4" fillId="8" borderId="0" xfId="1" applyNumberFormat="1" applyFill="1" applyAlignment="1">
      <alignment horizontal="center"/>
    </xf>
    <xf numFmtId="0" fontId="9" fillId="0" borderId="0" xfId="1" applyFont="1" applyAlignment="1" applyProtection="1">
      <alignment horizontal="center" vertical="center"/>
      <protection locked="0"/>
    </xf>
    <xf numFmtId="0" fontId="4" fillId="8" borderId="0" xfId="1" applyFill="1"/>
    <xf numFmtId="0" fontId="4" fillId="0" borderId="0" xfId="1" applyAlignment="1">
      <alignment horizontal="center" vertical="center"/>
    </xf>
    <xf numFmtId="164" fontId="4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7" fillId="0" borderId="0" xfId="1" applyFont="1" applyAlignment="1">
      <alignment horizontal="center"/>
    </xf>
    <xf numFmtId="0" fontId="4" fillId="0" borderId="0" xfId="1" applyAlignment="1">
      <alignment horizontal="center"/>
    </xf>
    <xf numFmtId="166" fontId="0" fillId="0" borderId="0" xfId="0" applyNumberFormat="1"/>
    <xf numFmtId="10" fontId="1" fillId="0" borderId="0" xfId="0" applyNumberFormat="1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4" borderId="0" xfId="0" applyFont="1" applyFill="1"/>
    <xf numFmtId="0" fontId="10" fillId="12" borderId="0" xfId="0" applyFont="1" applyFill="1" applyAlignment="1">
      <alignment horizontal="center" vertical="center"/>
    </xf>
    <xf numFmtId="0" fontId="11" fillId="12" borderId="0" xfId="0" applyFont="1" applyFill="1"/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164" fontId="0" fillId="11" borderId="0" xfId="0" applyNumberFormat="1" applyFill="1" applyAlignment="1">
      <alignment horizontal="center" vertical="center"/>
    </xf>
    <xf numFmtId="0" fontId="5" fillId="5" borderId="0" xfId="0" applyFont="1" applyFill="1"/>
    <xf numFmtId="0" fontId="5" fillId="6" borderId="0" xfId="0" applyFont="1" applyFill="1"/>
    <xf numFmtId="167" fontId="11" fillId="12" borderId="0" xfId="4" applyNumberFormat="1" applyFont="1" applyFill="1" applyAlignment="1">
      <alignment horizontal="center"/>
    </xf>
    <xf numFmtId="164" fontId="1" fillId="13" borderId="0" xfId="0" applyNumberFormat="1" applyFont="1" applyFill="1" applyAlignment="1">
      <alignment horizontal="right" vertical="center"/>
    </xf>
    <xf numFmtId="0" fontId="0" fillId="13" borderId="0" xfId="0" applyFill="1"/>
    <xf numFmtId="164" fontId="8" fillId="13" borderId="0" xfId="0" applyNumberFormat="1" applyFont="1" applyFill="1" applyAlignment="1">
      <alignment horizontal="center"/>
    </xf>
    <xf numFmtId="167" fontId="0" fillId="0" borderId="0" xfId="4" applyNumberFormat="1" applyFont="1"/>
    <xf numFmtId="167" fontId="3" fillId="6" borderId="0" xfId="0" applyNumberFormat="1" applyFont="1" applyFill="1"/>
    <xf numFmtId="0" fontId="3" fillId="6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5">
    <cellStyle name="Normal" xfId="0" builtinId="0"/>
    <cellStyle name="Normal 2" xfId="1" xr:uid="{073BB81B-30E1-AF49-BDE9-5479EFB3B1CF}"/>
    <cellStyle name="Normal 3" xfId="2" xr:uid="{18422292-9B75-894C-A318-D0E610413546}"/>
    <cellStyle name="Normal 3 2" xfId="3" xr:uid="{32F9AA98-AE8A-0E4E-8B50-5CFB5F8C2DDC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Group/ALUM/AluminaConferenceCall/September%2007/AluminaUpdateSeptember2007BackgroundInf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alsrv01/Groupsf2k/PLANNING/Rollf_2001/D_Apr/P&amp;S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My%20Documents/Spreadsheet%20File/AEP%20vs%20LME%2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PLANNING/Rollf_2001/D_Apr/P&amp;S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ontroller%20Division/Business%20Reporting/Bauxite%20&amp;%20Alumina/B&amp;A%20Group/2009/Month/0609/Workings/RTA/Variances/M&amp;R%20Variances%2006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ss%20Li/Box%20Sync/Loyola%20University%20Project/Academic%20Review%202019/Budget%20from%20Jack/Copy%20of%20190318%20Preliminary%20budget%20forecast_v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olmacgregor/Desktop/Program%20Review/McK%20Program%20Review/FY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ss%20Li/Box%20Sync/Loyola%20University%20Project/Academic%20Review%202019/FINAL%20DOCS/201890405%20FY18%20Factpack%20model%20B_v180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olmacgregor/Library/Containers/com.microsoft.Excel/Data/Library/Application%20Support/Microsoft/Working%20(version%201)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olmacgregor/Desktop/Program%20Review/McK%20Program%20Review/201890430%20FY18%20Factpack%20model%20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CRAP/DUMM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/PLANNING/Rollf_2001/D_Apr/P&amp;S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i/Google%20Drive/Finance/Program%20Analysis/FY21/Projections/3_res/ntr_per_credi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i/Google%20Drive/Finance/Program%20Analysis/FY21/Copy%20of%20Film%20Trend%2017-18%20to%20present%20with%20salarie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i/Google%20Drive/Finance/Program%20Analysis/FY20%20Data/4_Output/Profitability%20FY20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elting Capacity Changes"/>
      <sheetName val="Refining Capacity Changes"/>
      <sheetName val="AluminaUpdateSeptember2007Backg"/>
      <sheetName val="Sheet1"/>
    </sheetNames>
    <sheetDataSet>
      <sheetData sheetId="0"/>
      <sheetData sheetId="1">
        <row r="21">
          <cell r="C21">
            <v>1602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&amp;S BudvRF"/>
      <sheetName val="Var BudvRF"/>
      <sheetName val="P&amp;S RFvRF"/>
      <sheetName val="Var RFvRF"/>
      <sheetName val="LSFO"/>
      <sheetName val="Module1"/>
      <sheetName val="Module2"/>
      <sheetName val="Module3"/>
      <sheetName val="Module4"/>
      <sheetName val="Module5"/>
      <sheetName val="Module6"/>
      <sheetName val="Module8"/>
      <sheetName val="Module7"/>
      <sheetName val="Module9"/>
      <sheetName val="Module10"/>
      <sheetName val="Module11"/>
      <sheetName val="BGP"/>
      <sheetName val="Operation_Summary"/>
      <sheetName val="P&amp;S_BudvRF"/>
      <sheetName val="Var_BudvRF"/>
      <sheetName val="P&amp;S_RFvRF"/>
      <sheetName val="Var_RFvRF"/>
      <sheetName val="2008_B&amp;A_Valuation"/>
      <sheetName val="Taxas US$"/>
      <sheetName val="Cockpit"/>
      <sheetName val="WACC analysis"/>
      <sheetName val="TAUX"/>
      <sheetName val="P&amp;S2001"/>
      <sheetName val="KBI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udreuil Costs"/>
      <sheetName val="Chart1"/>
      <sheetName val="Sheet3"/>
      <sheetName val="Chart2"/>
      <sheetName val="LME &amp; Fx"/>
      <sheetName val="Hydrate Prices"/>
      <sheetName val="Chart3"/>
      <sheetName val="Chart4"/>
      <sheetName val="Sheet1"/>
      <sheetName val="Sheet2"/>
      <sheetName val="Sheet4"/>
      <sheetName val="Chart5"/>
      <sheetName val="Quarterly Metal and AEP Prices"/>
      <sheetName val="Prices&amp;Premiums (from CRU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5">
          <cell r="A5">
            <v>27805</v>
          </cell>
          <cell r="E5">
            <v>103.44</v>
          </cell>
        </row>
        <row r="6">
          <cell r="E6">
            <v>103.44</v>
          </cell>
        </row>
        <row r="7">
          <cell r="E7">
            <v>103.44</v>
          </cell>
        </row>
        <row r="8">
          <cell r="E8">
            <v>103.44</v>
          </cell>
        </row>
        <row r="9">
          <cell r="E9">
            <v>118.29</v>
          </cell>
        </row>
        <row r="10">
          <cell r="E10">
            <v>118.29</v>
          </cell>
        </row>
        <row r="11">
          <cell r="E11">
            <v>118.29</v>
          </cell>
        </row>
        <row r="12">
          <cell r="E12">
            <v>118.29</v>
          </cell>
        </row>
        <row r="13">
          <cell r="E13">
            <v>123.68</v>
          </cell>
        </row>
        <row r="14">
          <cell r="E14">
            <v>123.68</v>
          </cell>
        </row>
        <row r="15">
          <cell r="E15">
            <v>123.68</v>
          </cell>
        </row>
        <row r="16">
          <cell r="E16">
            <v>123.68</v>
          </cell>
        </row>
        <row r="17">
          <cell r="E17">
            <v>133.79</v>
          </cell>
        </row>
        <row r="18">
          <cell r="E18">
            <v>133.79</v>
          </cell>
        </row>
        <row r="19">
          <cell r="E19">
            <v>133.79</v>
          </cell>
        </row>
        <row r="20">
          <cell r="E20">
            <v>133.79</v>
          </cell>
        </row>
        <row r="21">
          <cell r="E21">
            <v>166.82</v>
          </cell>
        </row>
        <row r="22">
          <cell r="E22">
            <v>166.82</v>
          </cell>
        </row>
        <row r="23">
          <cell r="E23">
            <v>166.82</v>
          </cell>
        </row>
        <row r="24">
          <cell r="E24">
            <v>166.82</v>
          </cell>
        </row>
        <row r="25">
          <cell r="E25">
            <v>190.89</v>
          </cell>
        </row>
        <row r="26">
          <cell r="E26">
            <v>190.89</v>
          </cell>
        </row>
        <row r="27">
          <cell r="E27">
            <v>190.89</v>
          </cell>
        </row>
        <row r="28">
          <cell r="E28">
            <v>190.89</v>
          </cell>
        </row>
        <row r="29">
          <cell r="E29">
            <v>191.25</v>
          </cell>
        </row>
        <row r="30">
          <cell r="E30">
            <v>194.47</v>
          </cell>
        </row>
        <row r="31">
          <cell r="E31">
            <v>181.89</v>
          </cell>
        </row>
        <row r="32">
          <cell r="E32">
            <v>178.36</v>
          </cell>
        </row>
        <row r="33">
          <cell r="E33">
            <v>161.03</v>
          </cell>
        </row>
        <row r="34">
          <cell r="E34">
            <v>167.93</v>
          </cell>
        </row>
        <row r="35">
          <cell r="E35">
            <v>164.63</v>
          </cell>
        </row>
        <row r="36">
          <cell r="E36">
            <v>165.43</v>
          </cell>
        </row>
        <row r="37">
          <cell r="E37">
            <v>166.78</v>
          </cell>
        </row>
        <row r="38">
          <cell r="E38">
            <v>156.33000000000001</v>
          </cell>
        </row>
        <row r="39">
          <cell r="E39">
            <v>162.1</v>
          </cell>
        </row>
        <row r="40">
          <cell r="E40">
            <v>162.27000000000001</v>
          </cell>
        </row>
        <row r="41">
          <cell r="E41">
            <v>142.91999999999999</v>
          </cell>
        </row>
        <row r="42">
          <cell r="E42">
            <v>140.33000000000001</v>
          </cell>
        </row>
        <row r="43">
          <cell r="E43">
            <v>148.21</v>
          </cell>
        </row>
        <row r="44">
          <cell r="E44">
            <v>134.08000000000001</v>
          </cell>
        </row>
        <row r="45">
          <cell r="E45">
            <v>123.5</v>
          </cell>
        </row>
        <row r="46">
          <cell r="E46">
            <v>125.45</v>
          </cell>
        </row>
        <row r="47">
          <cell r="E47">
            <v>117.51</v>
          </cell>
        </row>
        <row r="48">
          <cell r="E48">
            <v>129.66999999999999</v>
          </cell>
        </row>
        <row r="49">
          <cell r="E49">
            <v>125.02</v>
          </cell>
        </row>
        <row r="50">
          <cell r="E50">
            <v>130.32</v>
          </cell>
        </row>
        <row r="51">
          <cell r="E51">
            <v>132.27000000000001</v>
          </cell>
        </row>
        <row r="52">
          <cell r="E52">
            <v>131.38999999999999</v>
          </cell>
        </row>
        <row r="53">
          <cell r="E53">
            <v>147.44</v>
          </cell>
        </row>
        <row r="54">
          <cell r="E54">
            <v>169.76</v>
          </cell>
        </row>
        <row r="55">
          <cell r="E55">
            <v>173.75</v>
          </cell>
        </row>
        <row r="56">
          <cell r="E56">
            <v>183.06</v>
          </cell>
        </row>
        <row r="57">
          <cell r="E57">
            <v>245.19</v>
          </cell>
        </row>
        <row r="58">
          <cell r="E58">
            <v>254.33</v>
          </cell>
        </row>
        <row r="59">
          <cell r="E59">
            <v>228.96</v>
          </cell>
        </row>
        <row r="60">
          <cell r="E60">
            <v>247.8</v>
          </cell>
        </row>
        <row r="61">
          <cell r="E61">
            <v>257.32</v>
          </cell>
        </row>
        <row r="62">
          <cell r="E62">
            <v>272.75</v>
          </cell>
        </row>
        <row r="63">
          <cell r="E63">
            <v>272.63</v>
          </cell>
        </row>
        <row r="64">
          <cell r="E64">
            <v>260.20999999999998</v>
          </cell>
        </row>
        <row r="65">
          <cell r="E65">
            <v>233.7</v>
          </cell>
        </row>
        <row r="66">
          <cell r="E66">
            <v>216.69</v>
          </cell>
        </row>
        <row r="67">
          <cell r="E67">
            <v>209.81</v>
          </cell>
        </row>
        <row r="68">
          <cell r="E68">
            <v>197.92</v>
          </cell>
        </row>
        <row r="69">
          <cell r="E69">
            <v>179.17</v>
          </cell>
        </row>
        <row r="70">
          <cell r="E70">
            <v>174.14</v>
          </cell>
        </row>
        <row r="71">
          <cell r="E71">
            <v>175.99</v>
          </cell>
        </row>
        <row r="72">
          <cell r="E72">
            <v>172.97</v>
          </cell>
        </row>
        <row r="73">
          <cell r="E73">
            <v>173.3</v>
          </cell>
        </row>
        <row r="74">
          <cell r="E74">
            <v>168.94</v>
          </cell>
        </row>
        <row r="75">
          <cell r="E75">
            <v>167.92</v>
          </cell>
        </row>
        <row r="76">
          <cell r="E76">
            <v>164.25</v>
          </cell>
        </row>
        <row r="77">
          <cell r="E77">
            <v>149.25</v>
          </cell>
        </row>
        <row r="78">
          <cell r="E78">
            <v>149.88999999999999</v>
          </cell>
        </row>
        <row r="79">
          <cell r="E79">
            <v>156.30000000000001</v>
          </cell>
        </row>
        <row r="80">
          <cell r="E80">
            <v>157.88</v>
          </cell>
        </row>
        <row r="81">
          <cell r="E81">
            <v>162.83000000000001</v>
          </cell>
          <cell r="F81">
            <v>213</v>
          </cell>
        </row>
        <row r="82">
          <cell r="E82">
            <v>175.6</v>
          </cell>
          <cell r="F82">
            <v>278</v>
          </cell>
        </row>
        <row r="83">
          <cell r="E83">
            <v>184.52</v>
          </cell>
          <cell r="F83">
            <v>295</v>
          </cell>
        </row>
        <row r="84">
          <cell r="E84">
            <v>180.52</v>
          </cell>
          <cell r="F84">
            <v>268</v>
          </cell>
        </row>
        <row r="85">
          <cell r="E85">
            <v>197.11</v>
          </cell>
          <cell r="F85">
            <v>215</v>
          </cell>
        </row>
        <row r="86">
          <cell r="E86">
            <v>198.53</v>
          </cell>
          <cell r="F86">
            <v>170</v>
          </cell>
        </row>
        <row r="87">
          <cell r="E87">
            <v>190.51</v>
          </cell>
          <cell r="F87">
            <v>150</v>
          </cell>
        </row>
        <row r="88">
          <cell r="F88">
            <v>160</v>
          </cell>
        </row>
        <row r="89">
          <cell r="F89">
            <v>215</v>
          </cell>
        </row>
        <row r="90">
          <cell r="F90">
            <v>218</v>
          </cell>
        </row>
      </sheetData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&amp;S BudvRF"/>
      <sheetName val="Var BudvRF"/>
      <sheetName val="P&amp;S RFvRF"/>
      <sheetName val="Var RFvRF"/>
      <sheetName val="LSFO"/>
      <sheetName val="Module1"/>
      <sheetName val="Module2"/>
      <sheetName val="Module3"/>
      <sheetName val="Module4"/>
      <sheetName val="Module5"/>
      <sheetName val="Module6"/>
      <sheetName val="Module8"/>
      <sheetName val="Module7"/>
      <sheetName val="Module9"/>
      <sheetName val="Module10"/>
      <sheetName val="Module11"/>
      <sheetName val="BGP"/>
      <sheetName val="Operation_Summary"/>
      <sheetName val="P&amp;S_BudvRF"/>
      <sheetName val="Var_BudvRF"/>
      <sheetName val="P&amp;S_RFvRF"/>
      <sheetName val="Var_RFvRF"/>
      <sheetName val="2008_B&amp;A_Valuation"/>
      <sheetName val="Taxas US$"/>
      <sheetName val="Cockpit"/>
      <sheetName val="WACC analysis"/>
      <sheetName val="TAUX"/>
      <sheetName val="P&amp;S2001"/>
      <sheetName val="KBI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 lag effect (diff in LME)"/>
      <sheetName val="Gross sales - Singapore"/>
      <sheetName val="COGS - Singapore"/>
      <sheetName val="Variance Summary"/>
      <sheetName val="Variance Analysis"/>
      <sheetName val="Inputs M&amp;R"/>
      <sheetName val="Plan 2009"/>
      <sheetName val="Split (CJR)"/>
      <sheetName val="QAL - IncStmt_&amp;_Stat"/>
      <sheetName val="Yarwun - IncStmt_&amp;_Stat"/>
      <sheetName val="Weipa - IncStmt_&amp;_Stat"/>
      <sheetName val="Other Variances"/>
      <sheetName val="Revenue Variances"/>
      <sheetName val="Selling Costs"/>
      <sheetName val="Plant Variances - prodn costs"/>
      <sheetName val="Source Mix"/>
      <sheetName val="Vari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nore - Current Status"/>
      <sheetName val="FY18 revenues"/>
      <sheetName val="FY19 revenues thru Jan 15"/>
      <sheetName val="FY18-19 Expense comparison"/>
      <sheetName val="Salaries"/>
      <sheetName val="SUMMARY Exhibit 1"/>
      <sheetName val="Bridge"/>
      <sheetName val="Key Assumptions"/>
      <sheetName val="Inputs --&gt;"/>
      <sheetName val="For BoT"/>
      <sheetName val="For BoT - Hard codes"/>
      <sheetName val="CK edits"/>
      <sheetName val="Debt Serv Sched FY 17"/>
      <sheetName val="Summary"/>
      <sheetName val="Bankable Plan"/>
      <sheetName val="Tuition &amp; FinAid projections"/>
      <sheetName val="Designated projections"/>
      <sheetName val="SoA - Unrestricted"/>
      <sheetName val="SACS Metrics"/>
      <sheetName val="UNAEP Reference"/>
      <sheetName val="Sheet1"/>
      <sheetName val="FY19-Unrestricted"/>
      <sheetName val="Scenarios --&gt;"/>
      <sheetName val="Comparison BC vs. BP"/>
      <sheetName val="Bankable Plan + Addl"/>
      <sheetName val="Key Inputs --&gt;"/>
      <sheetName val="Addl Deltas"/>
      <sheetName val="Additional inputs --&gt;"/>
      <sheetName val="Leon's Reconciliation Notes"/>
      <sheetName val="SA Revenue"/>
      <sheetName val="Graduate enrollment"/>
      <sheetName val="Grad FY20"/>
      <sheetName val="Online Projection - P80"/>
      <sheetName val="Online Projection - HE"/>
      <sheetName val="FringeBudget12-7-2018"/>
      <sheetName val="Whelan"/>
      <sheetName val="CodeSetUp"/>
      <sheetName val="T&amp;F Schedule"/>
      <sheetName val="University Summary"/>
      <sheetName val="David addl"/>
      <sheetName val="Archive--&gt;"/>
      <sheetName val="Summary (2)"/>
      <sheetName val="Leon's version"/>
      <sheetName val="Endowment Projection"/>
      <sheetName val="EndowDrawActuals"/>
      <sheetName val="Income Statement"/>
    </sheetNames>
    <sheetDataSet>
      <sheetData sheetId="0" refreshError="1"/>
      <sheetData sheetId="1">
        <row r="11">
          <cell r="J11">
            <v>20820</v>
          </cell>
        </row>
      </sheetData>
      <sheetData sheetId="2">
        <row r="14">
          <cell r="G14">
            <v>-97203229.260000005</v>
          </cell>
        </row>
      </sheetData>
      <sheetData sheetId="3">
        <row r="5">
          <cell r="D5">
            <v>461727</v>
          </cell>
        </row>
      </sheetData>
      <sheetData sheetId="4" refreshError="1"/>
      <sheetData sheetId="5" refreshError="1"/>
      <sheetData sheetId="6" refreshError="1"/>
      <sheetData sheetId="7">
        <row r="9">
          <cell r="D9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6">
          <cell r="B26">
            <v>6589450.8300000001</v>
          </cell>
        </row>
      </sheetData>
      <sheetData sheetId="14" refreshError="1"/>
      <sheetData sheetId="15">
        <row r="3">
          <cell r="L3">
            <v>103872368.40666357</v>
          </cell>
        </row>
      </sheetData>
      <sheetData sheetId="16">
        <row r="5">
          <cell r="E5">
            <v>-14056000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4">
          <cell r="E4">
            <v>6471.9999999999991</v>
          </cell>
        </row>
      </sheetData>
      <sheetData sheetId="31" refreshError="1"/>
      <sheetData sheetId="32" refreshError="1"/>
      <sheetData sheetId="33" refreshError="1"/>
      <sheetData sheetId="34">
        <row r="8">
          <cell r="D8">
            <v>1426669.8705000004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5">
          <cell r="C5">
            <v>155215</v>
          </cell>
        </row>
      </sheetData>
      <sheetData sheetId="44" refreshError="1"/>
      <sheetData sheetId="4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Instructions and key"/>
      <sheetName val="FY18 OUTPUT"/>
      <sheetName val="Indirect cost OUTPUT"/>
      <sheetName val="References --&gt; "/>
      <sheetName val="FY17 Baseline Model Summary"/>
      <sheetName val="Other --&gt;"/>
      <sheetName val="FY18 Other inputs"/>
      <sheetName val="Bankable Plan (2)"/>
      <sheetName val="Indirect costs --&gt; "/>
      <sheetName val="FY18 Indirect expenses"/>
      <sheetName val="Indirect expense allocation"/>
      <sheetName val="Summary"/>
      <sheetName val="PhysicalPlantAllocation"/>
      <sheetName val="Red bar --&gt; "/>
      <sheetName val="FY18 Redbar Summary"/>
      <sheetName val="Program to School mapping"/>
      <sheetName val="Notes"/>
      <sheetName val="Law"/>
      <sheetName val="Nursing"/>
      <sheetName val="LIM"/>
      <sheetName val="Counseling"/>
      <sheetName val="Design"/>
      <sheetName val="STUA"/>
      <sheetName val="Theatre"/>
      <sheetName val="Music"/>
      <sheetName val="MUIN"/>
      <sheetName val="CMMN"/>
      <sheetName val="Mkt"/>
      <sheetName val="Mgmt"/>
      <sheetName val="FIN"/>
      <sheetName val="Econ"/>
      <sheetName val="ACCT"/>
      <sheetName val="TEAC"/>
      <sheetName val="SOCI"/>
      <sheetName val="RELS"/>
      <sheetName val="Psychology"/>
      <sheetName val="POLS"/>
      <sheetName val="Physics"/>
      <sheetName val="Philosophy"/>
      <sheetName val="COSC"/>
      <sheetName val="Math"/>
      <sheetName val="Languages"/>
      <sheetName val="HIST"/>
      <sheetName val="English"/>
      <sheetName val="CRJU"/>
      <sheetName val="Classics"/>
      <sheetName val="Chemistry"/>
      <sheetName val="Biolog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P&amp;L/Programs</v>
          </cell>
          <cell r="C2" t="str">
            <v>ACCT</v>
          </cell>
          <cell r="D2" t="str">
            <v>Biology</v>
          </cell>
          <cell r="E2" t="str">
            <v>Chemistry</v>
          </cell>
          <cell r="F2" t="str">
            <v>Classics</v>
          </cell>
          <cell r="G2" t="str">
            <v>CMMN</v>
          </cell>
          <cell r="H2" t="str">
            <v>Counseling</v>
          </cell>
          <cell r="I2" t="str">
            <v>CRJU</v>
          </cell>
          <cell r="J2" t="str">
            <v>Design</v>
          </cell>
          <cell r="K2" t="str">
            <v>Econ</v>
          </cell>
          <cell r="L2" t="str">
            <v>English</v>
          </cell>
          <cell r="M2" t="str">
            <v>FIN</v>
          </cell>
          <cell r="N2" t="str">
            <v>HIST</v>
          </cell>
          <cell r="O2" t="str">
            <v>Languages</v>
          </cell>
          <cell r="P2" t="str">
            <v>Law</v>
          </cell>
          <cell r="Q2" t="str">
            <v>LIM</v>
          </cell>
          <cell r="R2" t="str">
            <v>Math</v>
          </cell>
          <cell r="S2" t="str">
            <v>Mgmt</v>
          </cell>
          <cell r="T2" t="str">
            <v>Mkt</v>
          </cell>
          <cell r="U2" t="str">
            <v>MUIN</v>
          </cell>
          <cell r="V2" t="str">
            <v>Music</v>
          </cell>
          <cell r="W2" t="str">
            <v>Nursing</v>
          </cell>
          <cell r="X2" t="str">
            <v>Philosophy</v>
          </cell>
          <cell r="Y2" t="str">
            <v>Physics</v>
          </cell>
          <cell r="Z2" t="str">
            <v>POLS</v>
          </cell>
          <cell r="AA2" t="str">
            <v>Psychology</v>
          </cell>
          <cell r="AB2" t="str">
            <v>RELS</v>
          </cell>
          <cell r="AC2" t="str">
            <v>SOCI</v>
          </cell>
          <cell r="AD2" t="str">
            <v>STUA</v>
          </cell>
          <cell r="AE2" t="str">
            <v>Theatre</v>
          </cell>
          <cell r="AF2" t="str">
            <v>Total/Average</v>
          </cell>
        </row>
        <row r="3">
          <cell r="C3" t="str">
            <v>Accounting</v>
          </cell>
          <cell r="D3" t="str">
            <v>Biology</v>
          </cell>
          <cell r="E3" t="str">
            <v>Chemistry</v>
          </cell>
          <cell r="F3" t="str">
            <v>Classics</v>
          </cell>
          <cell r="G3" t="str">
            <v>Communication</v>
          </cell>
          <cell r="H3" t="str">
            <v>Counseling</v>
          </cell>
          <cell r="I3" t="str">
            <v>Criminal Justice</v>
          </cell>
          <cell r="J3" t="str">
            <v>Design</v>
          </cell>
          <cell r="K3" t="str">
            <v>Economics</v>
          </cell>
          <cell r="L3" t="str">
            <v>English</v>
          </cell>
          <cell r="M3" t="str">
            <v>Finance</v>
          </cell>
          <cell r="N3" t="str">
            <v>History</v>
          </cell>
          <cell r="O3" t="str">
            <v>Languages</v>
          </cell>
          <cell r="P3" t="str">
            <v>Law</v>
          </cell>
          <cell r="Q3" t="str">
            <v>Loyola Institute of Ministry</v>
          </cell>
          <cell r="R3" t="str">
            <v>Math</v>
          </cell>
          <cell r="S3" t="str">
            <v>Management</v>
          </cell>
          <cell r="T3" t="str">
            <v>Marketing</v>
          </cell>
          <cell r="U3" t="str">
            <v>Music Industry</v>
          </cell>
          <cell r="V3" t="str">
            <v>Music</v>
          </cell>
          <cell r="W3" t="str">
            <v>Nursing</v>
          </cell>
          <cell r="X3" t="str">
            <v>Philosophy</v>
          </cell>
          <cell r="Y3" t="str">
            <v>Physics</v>
          </cell>
          <cell r="Z3" t="str">
            <v>Political Science</v>
          </cell>
          <cell r="AA3" t="str">
            <v>Psychology</v>
          </cell>
          <cell r="AB3" t="str">
            <v>Religious Studies</v>
          </cell>
          <cell r="AC3" t="str">
            <v>Sociology</v>
          </cell>
          <cell r="AD3" t="str">
            <v>Studio Art</v>
          </cell>
          <cell r="AE3" t="str">
            <v>Theatre</v>
          </cell>
        </row>
        <row r="4">
          <cell r="B4" t="str">
            <v>School</v>
          </cell>
          <cell r="C4" t="str">
            <v>Business</v>
          </cell>
          <cell r="D4" t="str">
            <v>CAS</v>
          </cell>
          <cell r="E4" t="str">
            <v>CAS</v>
          </cell>
          <cell r="F4" t="str">
            <v>CAS</v>
          </cell>
          <cell r="G4" t="str">
            <v>CAS</v>
          </cell>
          <cell r="H4" t="str">
            <v>GPS</v>
          </cell>
          <cell r="I4" t="str">
            <v>CAS</v>
          </cell>
          <cell r="J4" t="str">
            <v>CMFA</v>
          </cell>
          <cell r="K4" t="str">
            <v>Business</v>
          </cell>
          <cell r="L4" t="str">
            <v>CAS</v>
          </cell>
          <cell r="M4" t="str">
            <v>Business</v>
          </cell>
          <cell r="N4" t="str">
            <v>CAS</v>
          </cell>
          <cell r="O4" t="str">
            <v>CAS</v>
          </cell>
          <cell r="P4" t="str">
            <v>Law</v>
          </cell>
          <cell r="Q4" t="str">
            <v>GPS</v>
          </cell>
          <cell r="R4" t="str">
            <v>CAS</v>
          </cell>
          <cell r="S4" t="str">
            <v>Business</v>
          </cell>
          <cell r="T4" t="str">
            <v>Business</v>
          </cell>
          <cell r="U4" t="str">
            <v>CMFA</v>
          </cell>
          <cell r="V4" t="str">
            <v>CMFA</v>
          </cell>
          <cell r="W4" t="str">
            <v>GPS</v>
          </cell>
          <cell r="X4" t="str">
            <v>CAS</v>
          </cell>
          <cell r="Y4" t="str">
            <v>CAS</v>
          </cell>
          <cell r="Z4" t="str">
            <v>CAS</v>
          </cell>
          <cell r="AA4" t="str">
            <v>CAS</v>
          </cell>
          <cell r="AB4" t="str">
            <v>CAS</v>
          </cell>
          <cell r="AC4" t="str">
            <v>CAS</v>
          </cell>
          <cell r="AD4" t="str">
            <v>CMFA</v>
          </cell>
          <cell r="AE4" t="str">
            <v>CMFA</v>
          </cell>
        </row>
        <row r="6">
          <cell r="B6" t="str">
            <v>Net Revenue</v>
          </cell>
          <cell r="C6">
            <v>1000643.7403791959</v>
          </cell>
          <cell r="D6">
            <v>1788656.9580601412</v>
          </cell>
          <cell r="E6">
            <v>987576.64278824162</v>
          </cell>
          <cell r="F6">
            <v>378024.30628563021</v>
          </cell>
          <cell r="G6">
            <v>1727935.6862154484</v>
          </cell>
          <cell r="H6">
            <v>769528.95959935454</v>
          </cell>
          <cell r="I6">
            <v>1640491.8744485488</v>
          </cell>
          <cell r="J6">
            <v>399058.67162233981</v>
          </cell>
          <cell r="K6">
            <v>1089195.0777272186</v>
          </cell>
          <cell r="L6">
            <v>3103728.9836368421</v>
          </cell>
          <cell r="M6">
            <v>838848.39570673055</v>
          </cell>
          <cell r="N6">
            <v>2042237.2581207245</v>
          </cell>
          <cell r="O6">
            <v>1536861.8016069219</v>
          </cell>
          <cell r="P6">
            <v>12233614.282747841</v>
          </cell>
          <cell r="Q6">
            <v>354912.98269812972</v>
          </cell>
          <cell r="R6">
            <v>1909918.3488651626</v>
          </cell>
          <cell r="S6">
            <v>2836870.3192951912</v>
          </cell>
          <cell r="T6">
            <v>1158044.6347713161</v>
          </cell>
          <cell r="U6">
            <v>3573652.9750882266</v>
          </cell>
          <cell r="V6">
            <v>2621460.4347379953</v>
          </cell>
          <cell r="W6">
            <v>3457194.7266975944</v>
          </cell>
          <cell r="X6">
            <v>2688546.8873930727</v>
          </cell>
          <cell r="Y6">
            <v>647894.73815485288</v>
          </cell>
          <cell r="Z6">
            <v>953724.38936687144</v>
          </cell>
          <cell r="AA6">
            <v>2171023.4221252264</v>
          </cell>
          <cell r="AB6">
            <v>2194223.8599643079</v>
          </cell>
          <cell r="AC6">
            <v>1355256.531090318</v>
          </cell>
          <cell r="AD6">
            <v>976436.71838710643</v>
          </cell>
          <cell r="AE6">
            <v>597436.58348571346</v>
          </cell>
          <cell r="AF6">
            <v>57033000.191066265</v>
          </cell>
        </row>
        <row r="7">
          <cell r="B7" t="str">
            <v>Gross Revenue</v>
          </cell>
          <cell r="C7">
            <v>1959852.2963584499</v>
          </cell>
          <cell r="D7">
            <v>4025854.1093957117</v>
          </cell>
          <cell r="E7">
            <v>2444656.4475407461</v>
          </cell>
          <cell r="F7">
            <v>859959.0578934392</v>
          </cell>
          <cell r="G7">
            <v>3571020.479142203</v>
          </cell>
          <cell r="H7">
            <v>881811.89325674332</v>
          </cell>
          <cell r="I7">
            <v>3144224.2207720447</v>
          </cell>
          <cell r="J7">
            <v>880518.97435727343</v>
          </cell>
          <cell r="K7">
            <v>2086923.0851888303</v>
          </cell>
          <cell r="L7">
            <v>6673954.4851696379</v>
          </cell>
          <cell r="M7">
            <v>1637311.8127121502</v>
          </cell>
          <cell r="N7">
            <v>4554611.0936199035</v>
          </cell>
          <cell r="O7">
            <v>3939496.0109982677</v>
          </cell>
          <cell r="P7">
            <v>19036424.942938767</v>
          </cell>
          <cell r="Q7">
            <v>443851.10256410256</v>
          </cell>
          <cell r="R7">
            <v>4974469.8507929426</v>
          </cell>
          <cell r="S7">
            <v>5097202.1114085689</v>
          </cell>
          <cell r="T7">
            <v>2191938.4121256405</v>
          </cell>
          <cell r="U7">
            <v>7160903.0252141468</v>
          </cell>
          <cell r="V7">
            <v>6839358.2945261383</v>
          </cell>
          <cell r="W7">
            <v>3520280.8117647059</v>
          </cell>
          <cell r="X7">
            <v>5781695.1352896784</v>
          </cell>
          <cell r="Y7">
            <v>1536278.0155568602</v>
          </cell>
          <cell r="Z7">
            <v>1964146.4945646182</v>
          </cell>
          <cell r="AA7">
            <v>4411585.9728935091</v>
          </cell>
          <cell r="AB7">
            <v>4680421.1233170759</v>
          </cell>
          <cell r="AC7">
            <v>2880314.9624979524</v>
          </cell>
          <cell r="AD7">
            <v>2141334.5567492023</v>
          </cell>
          <cell r="AE7">
            <v>1470694.4124569511</v>
          </cell>
          <cell r="AF7">
            <v>110791093.19106628</v>
          </cell>
        </row>
        <row r="8">
          <cell r="B8" t="str">
            <v>Financial Aid</v>
          </cell>
          <cell r="C8">
            <v>959208.55597925396</v>
          </cell>
          <cell r="D8">
            <v>2237197.1513355705</v>
          </cell>
          <cell r="E8">
            <v>1457079.8047525045</v>
          </cell>
          <cell r="F8">
            <v>481934.75160780898</v>
          </cell>
          <cell r="G8">
            <v>1843084.7929267546</v>
          </cell>
          <cell r="H8">
            <v>112282.93365738873</v>
          </cell>
          <cell r="I8">
            <v>1503732.346323496</v>
          </cell>
          <cell r="J8">
            <v>481460.30273493362</v>
          </cell>
          <cell r="K8">
            <v>997728.00746161165</v>
          </cell>
          <cell r="L8">
            <v>3570225.5015327958</v>
          </cell>
          <cell r="M8">
            <v>798463.41700541961</v>
          </cell>
          <cell r="N8">
            <v>2512373.8354991791</v>
          </cell>
          <cell r="O8">
            <v>2402634.2093913457</v>
          </cell>
          <cell r="P8">
            <v>6802810.6601909269</v>
          </cell>
          <cell r="Q8">
            <v>88938.11986597284</v>
          </cell>
          <cell r="R8">
            <v>3064551.50192778</v>
          </cell>
          <cell r="S8">
            <v>2260331.7921133777</v>
          </cell>
          <cell r="T8">
            <v>1033893.7773543245</v>
          </cell>
          <cell r="U8">
            <v>3587250.0501259202</v>
          </cell>
          <cell r="V8">
            <v>4217897.8597881431</v>
          </cell>
          <cell r="W8">
            <v>63086.08506711154</v>
          </cell>
          <cell r="X8">
            <v>3093148.2478966056</v>
          </cell>
          <cell r="Y8">
            <v>888383.27740200737</v>
          </cell>
          <cell r="Z8">
            <v>1010422.1051977468</v>
          </cell>
          <cell r="AA8">
            <v>2240562.5507682827</v>
          </cell>
          <cell r="AB8">
            <v>2486197.263352768</v>
          </cell>
          <cell r="AC8">
            <v>1525058.4314076344</v>
          </cell>
          <cell r="AD8">
            <v>1164897.8383620959</v>
          </cell>
          <cell r="AE8">
            <v>873257.82897123764</v>
          </cell>
          <cell r="AF8">
            <v>53758093.000000007</v>
          </cell>
        </row>
        <row r="9">
          <cell r="B9" t="str">
            <v>Old Financial Aid</v>
          </cell>
          <cell r="C9">
            <v>1053410.4863584498</v>
          </cell>
          <cell r="D9">
            <v>2456907.7543957117</v>
          </cell>
          <cell r="E9">
            <v>1600176.6625407459</v>
          </cell>
          <cell r="F9">
            <v>529264.58789343922</v>
          </cell>
          <cell r="G9">
            <v>2024090.4191422029</v>
          </cell>
          <cell r="H9">
            <v>123310.01325674332</v>
          </cell>
          <cell r="I9">
            <v>1651410.8557720445</v>
          </cell>
          <cell r="J9">
            <v>528743.54435727349</v>
          </cell>
          <cell r="K9">
            <v>1095712.8551888303</v>
          </cell>
          <cell r="L9">
            <v>3920850.1201696377</v>
          </cell>
          <cell r="M9">
            <v>876878.89271215023</v>
          </cell>
          <cell r="N9">
            <v>2759108.9836199032</v>
          </cell>
          <cell r="O9">
            <v>2638592.0509982682</v>
          </cell>
          <cell r="P9">
            <v>7470900.9229387678</v>
          </cell>
          <cell r="Q9">
            <v>97672.552564102516</v>
          </cell>
          <cell r="R9">
            <v>3365514.9007929424</v>
          </cell>
          <cell r="S9">
            <v>2482314.401408569</v>
          </cell>
          <cell r="T9">
            <v>1135430.3921256405</v>
          </cell>
          <cell r="U9">
            <v>3939546.6152141467</v>
          </cell>
          <cell r="V9">
            <v>4632129.0695261387</v>
          </cell>
          <cell r="W9">
            <v>69281.641764706932</v>
          </cell>
          <cell r="X9">
            <v>3396920.0752896778</v>
          </cell>
          <cell r="Y9">
            <v>975629.60055686033</v>
          </cell>
          <cell r="Z9">
            <v>1109653.6145646183</v>
          </cell>
          <cell r="AA9">
            <v>2460603.662893509</v>
          </cell>
          <cell r="AB9">
            <v>2730361.6633170759</v>
          </cell>
          <cell r="AC9">
            <v>1674831.3324979525</v>
          </cell>
          <cell r="AD9">
            <v>1279300.0967492023</v>
          </cell>
          <cell r="AE9">
            <v>959018.71245695115</v>
          </cell>
          <cell r="AF9">
            <v>59037566.481066264</v>
          </cell>
        </row>
        <row r="11">
          <cell r="B11" t="str">
            <v>Total Salary and Benefit Costs</v>
          </cell>
          <cell r="C11">
            <v>550186.55809235433</v>
          </cell>
          <cell r="D11">
            <v>1251355.534</v>
          </cell>
          <cell r="E11">
            <v>880295.00490109716</v>
          </cell>
          <cell r="F11">
            <v>194281.88</v>
          </cell>
          <cell r="G11">
            <v>1078010.362</v>
          </cell>
          <cell r="H11">
            <v>551513.18299999996</v>
          </cell>
          <cell r="I11">
            <v>867935.9</v>
          </cell>
          <cell r="J11">
            <v>351486.40799999994</v>
          </cell>
          <cell r="K11">
            <v>783194.1</v>
          </cell>
          <cell r="L11">
            <v>1294342.92</v>
          </cell>
          <cell r="M11">
            <v>448624.8</v>
          </cell>
          <cell r="N11">
            <v>1095033.1469999999</v>
          </cell>
          <cell r="O11">
            <v>956477.6</v>
          </cell>
          <cell r="P11">
            <v>7820494.6689999998</v>
          </cell>
          <cell r="Q11">
            <v>704612.67500000005</v>
          </cell>
          <cell r="R11">
            <v>761863.40100000007</v>
          </cell>
          <cell r="S11">
            <v>1690643.5</v>
          </cell>
          <cell r="T11">
            <v>635514.1</v>
          </cell>
          <cell r="U11">
            <v>1487354.1410000001</v>
          </cell>
          <cell r="V11">
            <v>3461858.8030000003</v>
          </cell>
          <cell r="W11">
            <v>2413055.6579999998</v>
          </cell>
          <cell r="X11">
            <v>1031313.0099999999</v>
          </cell>
          <cell r="Y11">
            <v>417250.39200000005</v>
          </cell>
          <cell r="Z11">
            <v>550451.32999999996</v>
          </cell>
          <cell r="AA11">
            <v>876916.95</v>
          </cell>
          <cell r="AB11">
            <v>846893.19000000006</v>
          </cell>
          <cell r="AC11">
            <v>655038.397</v>
          </cell>
          <cell r="AD11">
            <v>484283.54</v>
          </cell>
          <cell r="AE11">
            <v>561054.80599999998</v>
          </cell>
          <cell r="AF11">
            <v>34701335.958993457</v>
          </cell>
        </row>
        <row r="12">
          <cell r="B12" t="str">
            <v>All Salaries</v>
          </cell>
          <cell r="C12">
            <v>423220.42930181103</v>
          </cell>
          <cell r="D12">
            <v>962581.18</v>
          </cell>
          <cell r="E12">
            <v>677150.00377007469</v>
          </cell>
          <cell r="F12">
            <v>149447.6</v>
          </cell>
          <cell r="G12">
            <v>829238.74</v>
          </cell>
          <cell r="H12">
            <v>424240.91</v>
          </cell>
          <cell r="I12">
            <v>667643</v>
          </cell>
          <cell r="J12">
            <v>270374.15999999997</v>
          </cell>
          <cell r="K12">
            <v>602457</v>
          </cell>
          <cell r="L12">
            <v>995648.4</v>
          </cell>
          <cell r="M12">
            <v>345096</v>
          </cell>
          <cell r="N12">
            <v>842333.19</v>
          </cell>
          <cell r="O12">
            <v>735752</v>
          </cell>
          <cell r="P12">
            <v>6015765.1299999999</v>
          </cell>
          <cell r="Q12">
            <v>542009.75</v>
          </cell>
          <cell r="R12">
            <v>586048.77</v>
          </cell>
          <cell r="S12">
            <v>1300495</v>
          </cell>
          <cell r="T12">
            <v>488857</v>
          </cell>
          <cell r="U12">
            <v>1144118.57</v>
          </cell>
          <cell r="V12">
            <v>2662968.31</v>
          </cell>
          <cell r="W12">
            <v>1856196.66</v>
          </cell>
          <cell r="X12">
            <v>793317.7</v>
          </cell>
          <cell r="Y12">
            <v>320961.84000000003</v>
          </cell>
          <cell r="Z12">
            <v>423424.1</v>
          </cell>
          <cell r="AA12">
            <v>674551.5</v>
          </cell>
          <cell r="AB12">
            <v>651456.30000000005</v>
          </cell>
          <cell r="AC12">
            <v>503875.69</v>
          </cell>
          <cell r="AD12">
            <v>372525.8</v>
          </cell>
          <cell r="AE12">
            <v>431580.62</v>
          </cell>
          <cell r="AF12">
            <v>26693335.353071891</v>
          </cell>
        </row>
        <row r="13">
          <cell r="B13" t="str">
            <v>All Benefits</v>
          </cell>
          <cell r="C13">
            <v>126966.1287905433</v>
          </cell>
          <cell r="D13">
            <v>288774.35399999999</v>
          </cell>
          <cell r="E13">
            <v>203145.00113102241</v>
          </cell>
          <cell r="F13">
            <v>44834.28</v>
          </cell>
          <cell r="G13">
            <v>248771.62199999997</v>
          </cell>
          <cell r="H13">
            <v>127272.27299999999</v>
          </cell>
          <cell r="I13">
            <v>200292.9</v>
          </cell>
          <cell r="J13">
            <v>81112.247999999992</v>
          </cell>
          <cell r="K13">
            <v>180737.1</v>
          </cell>
          <cell r="L13">
            <v>298694.52</v>
          </cell>
          <cell r="M13">
            <v>103528.8</v>
          </cell>
          <cell r="N13">
            <v>252699.95699999997</v>
          </cell>
          <cell r="O13">
            <v>220725.6</v>
          </cell>
          <cell r="P13">
            <v>1804729.5389999999</v>
          </cell>
          <cell r="Q13">
            <v>162602.92499999999</v>
          </cell>
          <cell r="R13">
            <v>175814.63099999999</v>
          </cell>
          <cell r="S13">
            <v>390148.5</v>
          </cell>
          <cell r="T13">
            <v>146657.1</v>
          </cell>
          <cell r="U13">
            <v>343235.571</v>
          </cell>
          <cell r="V13">
            <v>798890.49300000002</v>
          </cell>
          <cell r="W13">
            <v>556858.99799999991</v>
          </cell>
          <cell r="X13">
            <v>237995.30999999997</v>
          </cell>
          <cell r="Y13">
            <v>96288.552000000011</v>
          </cell>
          <cell r="Z13">
            <v>127027.23</v>
          </cell>
          <cell r="AA13">
            <v>202365.45</v>
          </cell>
          <cell r="AB13">
            <v>195436.89</v>
          </cell>
          <cell r="AC13">
            <v>151162.70699999999</v>
          </cell>
          <cell r="AD13">
            <v>111757.73999999999</v>
          </cell>
          <cell r="AE13">
            <v>129474.18599999999</v>
          </cell>
          <cell r="AF13">
            <v>8008000.6059215646</v>
          </cell>
        </row>
        <row r="15">
          <cell r="B15" t="str">
            <v>Total Direct Costs</v>
          </cell>
          <cell r="C15">
            <v>583278.54508478392</v>
          </cell>
          <cell r="D15">
            <v>1300561.814</v>
          </cell>
          <cell r="E15">
            <v>916266.60930478293</v>
          </cell>
          <cell r="F15">
            <v>201264.72</v>
          </cell>
          <cell r="G15">
            <v>1156335.852</v>
          </cell>
          <cell r="H15">
            <v>596031.21299999999</v>
          </cell>
          <cell r="I15">
            <v>909506.67</v>
          </cell>
          <cell r="J15">
            <v>359641.34799999994</v>
          </cell>
          <cell r="K15">
            <v>816025.1</v>
          </cell>
          <cell r="L15">
            <v>1327447.44</v>
          </cell>
          <cell r="M15">
            <v>474732.79999999999</v>
          </cell>
          <cell r="N15">
            <v>1119883.4569999999</v>
          </cell>
          <cell r="O15">
            <v>977186.02</v>
          </cell>
          <cell r="P15">
            <v>8820651.1089999992</v>
          </cell>
          <cell r="Q15">
            <v>842551.03500000003</v>
          </cell>
          <cell r="R15">
            <v>783627.46100000013</v>
          </cell>
          <cell r="S15">
            <v>1772413.5</v>
          </cell>
          <cell r="T15">
            <v>670063.1</v>
          </cell>
          <cell r="U15">
            <v>1532156.1410000001</v>
          </cell>
          <cell r="V15">
            <v>3718601.8030000003</v>
          </cell>
          <cell r="W15">
            <v>2602513.5079999999</v>
          </cell>
          <cell r="X15">
            <v>1053270.9099999999</v>
          </cell>
          <cell r="Y15">
            <v>433741.10200000007</v>
          </cell>
          <cell r="Z15">
            <v>570632.25</v>
          </cell>
          <cell r="AA15">
            <v>908558.66999999993</v>
          </cell>
          <cell r="AB15">
            <v>866611.89</v>
          </cell>
          <cell r="AC15">
            <v>673491.73699999996</v>
          </cell>
          <cell r="AD15">
            <v>499956.44999999995</v>
          </cell>
          <cell r="AE15">
            <v>585556.67599999998</v>
          </cell>
          <cell r="AF15">
            <v>37072558.930389576</v>
          </cell>
        </row>
        <row r="16">
          <cell r="B16" t="str">
            <v>All Faculty costs</v>
          </cell>
          <cell r="C16">
            <v>456340.14661356789</v>
          </cell>
          <cell r="D16">
            <v>1077468.7</v>
          </cell>
          <cell r="E16">
            <v>709966.5</v>
          </cell>
          <cell r="F16">
            <v>177030.90599999999</v>
          </cell>
          <cell r="G16">
            <v>844661.57099999988</v>
          </cell>
          <cell r="H16">
            <v>411167.04199999996</v>
          </cell>
          <cell r="I16">
            <v>737181.9360000001</v>
          </cell>
          <cell r="J16">
            <v>286409.65400000004</v>
          </cell>
          <cell r="K16">
            <v>686880.23741612572</v>
          </cell>
          <cell r="L16">
            <v>1181332.6979999999</v>
          </cell>
          <cell r="M16">
            <v>371973.43778308405</v>
          </cell>
          <cell r="N16">
            <v>997025.24899999995</v>
          </cell>
          <cell r="O16">
            <v>844694.56099999999</v>
          </cell>
          <cell r="P16">
            <v>6895983.5479999995</v>
          </cell>
          <cell r="Q16">
            <v>363480.18099999998</v>
          </cell>
          <cell r="R16">
            <v>679770.74700000009</v>
          </cell>
          <cell r="S16">
            <v>1450567.9506210701</v>
          </cell>
          <cell r="T16">
            <v>534078.85987031856</v>
          </cell>
          <cell r="U16">
            <v>1256637.9509999999</v>
          </cell>
          <cell r="V16">
            <v>2976006.9040000001</v>
          </cell>
          <cell r="W16">
            <v>2126171.4369999999</v>
          </cell>
          <cell r="X16">
            <v>936978.30199999991</v>
          </cell>
          <cell r="Y16">
            <v>363297.59200000006</v>
          </cell>
          <cell r="Z16">
            <v>477910.18599999999</v>
          </cell>
          <cell r="AA16">
            <v>769975.29500000004</v>
          </cell>
          <cell r="AB16">
            <v>785783.66099999996</v>
          </cell>
          <cell r="AC16">
            <v>573393.86</v>
          </cell>
          <cell r="AD16">
            <v>417797.28900000005</v>
          </cell>
          <cell r="AE16">
            <v>448556.79399999999</v>
          </cell>
          <cell r="AF16">
            <v>29838523.196304165</v>
          </cell>
        </row>
        <row r="17">
          <cell r="B17" t="str">
            <v xml:space="preserve">*Full-time faculty salary </v>
          </cell>
          <cell r="C17">
            <v>325030.28175121761</v>
          </cell>
          <cell r="D17">
            <v>789149</v>
          </cell>
          <cell r="E17">
            <v>509165</v>
          </cell>
          <cell r="F17">
            <v>128177.66</v>
          </cell>
          <cell r="G17">
            <v>540906.99</v>
          </cell>
          <cell r="H17">
            <v>303128.53999999998</v>
          </cell>
          <cell r="I17">
            <v>476140.34</v>
          </cell>
          <cell r="J17">
            <v>178003.54</v>
          </cell>
          <cell r="K17">
            <v>493038.28175121761</v>
          </cell>
          <cell r="L17">
            <v>801210.91</v>
          </cell>
          <cell r="M17">
            <v>241941.76291659268</v>
          </cell>
          <cell r="N17">
            <v>735795.88</v>
          </cell>
          <cell r="O17">
            <v>587188.24</v>
          </cell>
          <cell r="P17">
            <v>5135997.5299999993</v>
          </cell>
          <cell r="Q17">
            <v>234021.88</v>
          </cell>
          <cell r="R17">
            <v>479900.7</v>
          </cell>
          <cell r="S17">
            <v>1045803.8665746312</v>
          </cell>
          <cell r="T17">
            <v>394696.44878089876</v>
          </cell>
          <cell r="U17">
            <v>692466.47</v>
          </cell>
          <cell r="V17">
            <v>1779655.6099999999</v>
          </cell>
          <cell r="W17">
            <v>1269150.18</v>
          </cell>
          <cell r="X17">
            <v>713060.34</v>
          </cell>
          <cell r="Y17">
            <v>263305.92000000004</v>
          </cell>
          <cell r="Z17">
            <v>361469.42</v>
          </cell>
          <cell r="AA17">
            <v>549181.22</v>
          </cell>
          <cell r="AB17">
            <v>564756.80000000005</v>
          </cell>
          <cell r="AC17">
            <v>434918.38</v>
          </cell>
          <cell r="AD17">
            <v>314382.52</v>
          </cell>
          <cell r="AE17">
            <v>271790.88</v>
          </cell>
          <cell r="AF17">
            <v>20613434.591774561</v>
          </cell>
        </row>
        <row r="18">
          <cell r="B18" t="str">
            <v>*PT Faculty Salary</v>
          </cell>
          <cell r="C18">
            <v>14961.963601748921</v>
          </cell>
          <cell r="D18">
            <v>22750</v>
          </cell>
          <cell r="E18">
            <v>20000</v>
          </cell>
          <cell r="F18">
            <v>7999.96</v>
          </cell>
          <cell r="G18">
            <v>108832.68</v>
          </cell>
          <cell r="H18">
            <v>7000</v>
          </cell>
          <cell r="I18">
            <v>68999.98</v>
          </cell>
          <cell r="J18">
            <v>33100.04</v>
          </cell>
          <cell r="K18">
            <v>26906.959374647067</v>
          </cell>
          <cell r="L18">
            <v>94429.95</v>
          </cell>
          <cell r="M18">
            <v>37492.564963456542</v>
          </cell>
          <cell r="N18">
            <v>21915.85</v>
          </cell>
          <cell r="O18">
            <v>54499.93</v>
          </cell>
          <cell r="P18">
            <v>64000.03</v>
          </cell>
          <cell r="Q18">
            <v>29834.49</v>
          </cell>
          <cell r="R18">
            <v>32999.89</v>
          </cell>
          <cell r="S18">
            <v>49035.886335973926</v>
          </cell>
          <cell r="T18">
            <v>7268.4157241735365</v>
          </cell>
          <cell r="U18">
            <v>268389.59999999998</v>
          </cell>
          <cell r="V18">
            <v>429180.97</v>
          </cell>
          <cell r="W18">
            <v>297654.71000000002</v>
          </cell>
          <cell r="X18">
            <v>0</v>
          </cell>
          <cell r="Y18">
            <v>9999.92</v>
          </cell>
          <cell r="Z18">
            <v>0</v>
          </cell>
          <cell r="AA18">
            <v>30799.93</v>
          </cell>
          <cell r="AB18">
            <v>31999.97</v>
          </cell>
          <cell r="AC18">
            <v>0.02</v>
          </cell>
          <cell r="AD18">
            <v>7000.01</v>
          </cell>
          <cell r="AE18">
            <v>61868.2</v>
          </cell>
          <cell r="AF18">
            <v>1838921.9199999997</v>
          </cell>
        </row>
        <row r="19">
          <cell r="B19" t="str">
            <v>*Overload/Stipends</v>
          </cell>
          <cell r="C19">
            <v>11038.636657470299</v>
          </cell>
          <cell r="D19">
            <v>22000</v>
          </cell>
          <cell r="E19">
            <v>22052</v>
          </cell>
          <cell r="F19">
            <v>0</v>
          </cell>
          <cell r="G19">
            <v>0</v>
          </cell>
          <cell r="H19">
            <v>7999.94</v>
          </cell>
          <cell r="I19">
            <v>28499.52</v>
          </cell>
          <cell r="J19">
            <v>11975</v>
          </cell>
          <cell r="K19">
            <v>10951.423952501571</v>
          </cell>
          <cell r="L19">
            <v>16999.580000000002</v>
          </cell>
          <cell r="M19">
            <v>8708.8115390200219</v>
          </cell>
          <cell r="N19">
            <v>12000</v>
          </cell>
          <cell r="O19">
            <v>10499.94</v>
          </cell>
          <cell r="P19">
            <v>135986.72</v>
          </cell>
          <cell r="Q19">
            <v>20466.900000000001</v>
          </cell>
          <cell r="R19">
            <v>12999.98</v>
          </cell>
          <cell r="S19">
            <v>27276.271837283464</v>
          </cell>
          <cell r="T19">
            <v>11524.536013724635</v>
          </cell>
          <cell r="U19">
            <v>7525.06</v>
          </cell>
          <cell r="V19">
            <v>104519.35</v>
          </cell>
          <cell r="W19">
            <v>89325.08</v>
          </cell>
          <cell r="X19">
            <v>9999.86</v>
          </cell>
          <cell r="Y19">
            <v>8000</v>
          </cell>
          <cell r="Z19">
            <v>7999.94</v>
          </cell>
          <cell r="AA19">
            <v>15999.800000000001</v>
          </cell>
          <cell r="AB19">
            <v>9999.86</v>
          </cell>
          <cell r="AC19">
            <v>7999.94</v>
          </cell>
          <cell r="AD19">
            <v>0</v>
          </cell>
          <cell r="AE19">
            <v>14799.99</v>
          </cell>
          <cell r="AF19">
            <v>647148.13999999978</v>
          </cell>
        </row>
        <row r="20">
          <cell r="B20" t="str">
            <v>*Faculty Benefits</v>
          </cell>
          <cell r="C20">
            <v>105309.26460313106</v>
          </cell>
          <cell r="D20">
            <v>243569.69999999998</v>
          </cell>
          <cell r="E20">
            <v>158749.5</v>
          </cell>
          <cell r="F20">
            <v>40853.286</v>
          </cell>
          <cell r="G20">
            <v>194921.90099999998</v>
          </cell>
          <cell r="H20">
            <v>93038.561999999991</v>
          </cell>
          <cell r="I20">
            <v>163542.09600000002</v>
          </cell>
          <cell r="J20">
            <v>63331.074000000001</v>
          </cell>
          <cell r="K20">
            <v>155983.5723377594</v>
          </cell>
          <cell r="L20">
            <v>268692.25799999997</v>
          </cell>
          <cell r="M20">
            <v>83830.298364014772</v>
          </cell>
          <cell r="N20">
            <v>227313.519</v>
          </cell>
          <cell r="O20">
            <v>192506.451</v>
          </cell>
          <cell r="P20">
            <v>1559999.2679999999</v>
          </cell>
          <cell r="Q20">
            <v>79156.910999999993</v>
          </cell>
          <cell r="R20">
            <v>153870.177</v>
          </cell>
          <cell r="S20">
            <v>328451.92587318155</v>
          </cell>
          <cell r="T20">
            <v>120589.45935152168</v>
          </cell>
          <cell r="U20">
            <v>288256.821</v>
          </cell>
          <cell r="V20">
            <v>662650.97400000005</v>
          </cell>
          <cell r="W20">
            <v>470041.46699999995</v>
          </cell>
          <cell r="X20">
            <v>213918.10199999998</v>
          </cell>
          <cell r="Y20">
            <v>81991.752000000008</v>
          </cell>
          <cell r="Z20">
            <v>108440.82599999999</v>
          </cell>
          <cell r="AA20">
            <v>173994.345</v>
          </cell>
          <cell r="AB20">
            <v>179027.03099999999</v>
          </cell>
          <cell r="AC20">
            <v>130475.52</v>
          </cell>
          <cell r="AD20">
            <v>96414.759000000005</v>
          </cell>
          <cell r="AE20">
            <v>100097.724</v>
          </cell>
          <cell r="AF20">
            <v>6739018.5445296085</v>
          </cell>
        </row>
        <row r="21">
          <cell r="B21" t="str">
            <v>Other Direct Costs</v>
          </cell>
          <cell r="C21">
            <v>126938.39847121603</v>
          </cell>
          <cell r="D21">
            <v>223093.11400000006</v>
          </cell>
          <cell r="E21">
            <v>206300.10930478293</v>
          </cell>
          <cell r="F21">
            <v>24233.814000000013</v>
          </cell>
          <cell r="G21">
            <v>311674.28100000008</v>
          </cell>
          <cell r="H21">
            <v>184864.17100000003</v>
          </cell>
          <cell r="I21">
            <v>172324.73399999994</v>
          </cell>
          <cell r="J21">
            <v>73231.693999999901</v>
          </cell>
          <cell r="K21">
            <v>129144.86258387426</v>
          </cell>
          <cell r="L21">
            <v>146114.74200000009</v>
          </cell>
          <cell r="M21">
            <v>102759.36221691594</v>
          </cell>
          <cell r="N21">
            <v>122858.20799999998</v>
          </cell>
          <cell r="O21">
            <v>132491.45900000003</v>
          </cell>
          <cell r="P21">
            <v>1924667.5609999998</v>
          </cell>
          <cell r="Q21">
            <v>479070.85400000005</v>
          </cell>
          <cell r="R21">
            <v>103856.71400000004</v>
          </cell>
          <cell r="S21">
            <v>321845.54937892989</v>
          </cell>
          <cell r="T21">
            <v>135984.24012968142</v>
          </cell>
          <cell r="U21">
            <v>275518.19000000018</v>
          </cell>
          <cell r="V21">
            <v>742594.89900000021</v>
          </cell>
          <cell r="W21">
            <v>476342.071</v>
          </cell>
          <cell r="X21">
            <v>116292.60800000001</v>
          </cell>
          <cell r="Y21">
            <v>70443.510000000009</v>
          </cell>
          <cell r="Z21">
            <v>92722.064000000013</v>
          </cell>
          <cell r="AA21">
            <v>138583.37499999988</v>
          </cell>
          <cell r="AB21">
            <v>80828.22900000005</v>
          </cell>
          <cell r="AC21">
            <v>100097.87699999998</v>
          </cell>
          <cell r="AD21">
            <v>82159.160999999905</v>
          </cell>
          <cell r="AE21">
            <v>136999.88199999998</v>
          </cell>
          <cell r="AF21">
            <v>7234035.7340854025</v>
          </cell>
        </row>
        <row r="22">
          <cell r="B22" t="str">
            <v>*Academic FT staff salary</v>
          </cell>
          <cell r="C22">
            <v>64644.14220128391</v>
          </cell>
          <cell r="D22">
            <v>82270</v>
          </cell>
          <cell r="E22">
            <v>96521</v>
          </cell>
          <cell r="F22" t="str">
            <v>0</v>
          </cell>
          <cell r="G22">
            <v>126378.07</v>
          </cell>
          <cell r="H22">
            <v>82806.429999999993</v>
          </cell>
          <cell r="I22">
            <v>40278.19</v>
          </cell>
          <cell r="J22">
            <v>44500.58</v>
          </cell>
          <cell r="K22">
            <v>64133.409700822296</v>
          </cell>
          <cell r="L22">
            <v>32690.25</v>
          </cell>
          <cell r="M22">
            <v>51000.288260380868</v>
          </cell>
          <cell r="N22">
            <v>30270.46</v>
          </cell>
          <cell r="O22">
            <v>50302.29</v>
          </cell>
          <cell r="P22">
            <v>230248.34999999998</v>
          </cell>
          <cell r="Q22">
            <v>173685.61</v>
          </cell>
          <cell r="R22">
            <v>25585.200000000001</v>
          </cell>
          <cell r="S22">
            <v>159734.50799080005</v>
          </cell>
          <cell r="T22">
            <v>67489.651846712892</v>
          </cell>
          <cell r="U22">
            <v>155931.94</v>
          </cell>
          <cell r="V22">
            <v>285007.74</v>
          </cell>
          <cell r="W22">
            <v>105853.41</v>
          </cell>
          <cell r="X22">
            <v>0</v>
          </cell>
          <cell r="Y22">
            <v>21930</v>
          </cell>
          <cell r="Z22">
            <v>35567.78</v>
          </cell>
          <cell r="AA22">
            <v>41188.519999999997</v>
          </cell>
          <cell r="AB22">
            <v>11784.64</v>
          </cell>
          <cell r="AC22">
            <v>33238.35</v>
          </cell>
          <cell r="AD22">
            <v>18740.48</v>
          </cell>
          <cell r="AE22">
            <v>74480.549999999988</v>
          </cell>
          <cell r="AF22">
            <v>2206261.8399999994</v>
          </cell>
        </row>
        <row r="23">
          <cell r="B23" t="str">
            <v>*Student assistant salaries</v>
          </cell>
          <cell r="C23">
            <v>7545.405090090333</v>
          </cell>
          <cell r="D23">
            <v>1008</v>
          </cell>
          <cell r="E23">
            <v>1050</v>
          </cell>
          <cell r="F23">
            <v>0</v>
          </cell>
          <cell r="G23">
            <v>12660</v>
          </cell>
          <cell r="H23">
            <v>325</v>
          </cell>
          <cell r="I23">
            <v>12396.99</v>
          </cell>
          <cell r="J23">
            <v>1795</v>
          </cell>
          <cell r="K23">
            <v>7485.7912801234788</v>
          </cell>
          <cell r="L23">
            <v>2354.75</v>
          </cell>
          <cell r="M23">
            <v>5952.8647381186711</v>
          </cell>
          <cell r="N23">
            <v>1760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18644.559717476146</v>
          </cell>
          <cell r="T23">
            <v>7877.5391741913754</v>
          </cell>
          <cell r="U23">
            <v>14268</v>
          </cell>
          <cell r="V23">
            <v>23427.48</v>
          </cell>
          <cell r="W23">
            <v>0</v>
          </cell>
          <cell r="X23">
            <v>0</v>
          </cell>
          <cell r="Y23">
            <v>770</v>
          </cell>
          <cell r="Z23">
            <v>0</v>
          </cell>
          <cell r="AA23">
            <v>0</v>
          </cell>
          <cell r="AB23">
            <v>0</v>
          </cell>
          <cell r="AC23">
            <v>1821</v>
          </cell>
          <cell r="AD23">
            <v>628.92999999999995</v>
          </cell>
          <cell r="AE23">
            <v>2266</v>
          </cell>
          <cell r="AF23">
            <v>124037.31</v>
          </cell>
        </row>
        <row r="24">
          <cell r="B24" t="str">
            <v>Operating Expenses</v>
          </cell>
          <cell r="C24">
            <v>33091.986992429571</v>
          </cell>
          <cell r="D24">
            <v>49206.28</v>
          </cell>
          <cell r="E24">
            <v>35971.604403685829</v>
          </cell>
          <cell r="F24">
            <v>6982.84</v>
          </cell>
          <cell r="G24">
            <v>78325.489999999991</v>
          </cell>
          <cell r="H24">
            <v>44518.03</v>
          </cell>
          <cell r="I24">
            <v>41570.770000000004</v>
          </cell>
          <cell r="J24">
            <v>8154.94</v>
          </cell>
          <cell r="K24">
            <v>32831</v>
          </cell>
          <cell r="L24">
            <v>33104.520000000004</v>
          </cell>
          <cell r="M24">
            <v>26108</v>
          </cell>
          <cell r="N24">
            <v>24850.31</v>
          </cell>
          <cell r="O24">
            <v>20708.419999999998</v>
          </cell>
          <cell r="P24">
            <v>1000156.44</v>
          </cell>
          <cell r="Q24">
            <v>137938.35999999999</v>
          </cell>
          <cell r="R24">
            <v>21764.06</v>
          </cell>
          <cell r="S24">
            <v>81770</v>
          </cell>
          <cell r="T24">
            <v>34549</v>
          </cell>
          <cell r="U24">
            <v>44802</v>
          </cell>
          <cell r="V24">
            <v>256743</v>
          </cell>
          <cell r="W24">
            <v>189457.85</v>
          </cell>
          <cell r="X24">
            <v>21957.9</v>
          </cell>
          <cell r="Y24">
            <v>16490.71</v>
          </cell>
          <cell r="Z24">
            <v>20180.919999999998</v>
          </cell>
          <cell r="AA24">
            <v>31641.72</v>
          </cell>
          <cell r="AB24">
            <v>19718.7</v>
          </cell>
          <cell r="AC24">
            <v>18453.34</v>
          </cell>
          <cell r="AD24">
            <v>15672.91</v>
          </cell>
          <cell r="AE24">
            <v>24501.87</v>
          </cell>
          <cell r="AF24">
            <v>2371222.9713961156</v>
          </cell>
        </row>
        <row r="26">
          <cell r="B26" t="str">
            <v>Profitability - Only Faculty Costs</v>
          </cell>
          <cell r="C26">
            <v>544303.59376562806</v>
          </cell>
          <cell r="D26">
            <v>711188.25806014123</v>
          </cell>
          <cell r="E26">
            <v>277610.14278824162</v>
          </cell>
          <cell r="F26">
            <v>200993.40028563022</v>
          </cell>
          <cell r="G26">
            <v>883274.11521544855</v>
          </cell>
          <cell r="H26">
            <v>358361.91759935458</v>
          </cell>
          <cell r="I26">
            <v>903309.93844854867</v>
          </cell>
          <cell r="J26">
            <v>112649.01762233977</v>
          </cell>
          <cell r="K26">
            <v>402314.84031109291</v>
          </cell>
          <cell r="L26">
            <v>1922396.2856368423</v>
          </cell>
          <cell r="M26">
            <v>466874.95792364649</v>
          </cell>
          <cell r="N26">
            <v>1045212.0091207245</v>
          </cell>
          <cell r="O26">
            <v>692167.24060692196</v>
          </cell>
          <cell r="P26">
            <v>5337630.734747841</v>
          </cell>
          <cell r="Q26">
            <v>-8567.1983018702595</v>
          </cell>
          <cell r="R26">
            <v>1230147.6018651626</v>
          </cell>
          <cell r="S26">
            <v>1386302.3686741211</v>
          </cell>
          <cell r="T26">
            <v>623965.77490099752</v>
          </cell>
          <cell r="U26">
            <v>2317015.0240882267</v>
          </cell>
          <cell r="V26">
            <v>-354546.46926200483</v>
          </cell>
          <cell r="W26">
            <v>1331023.2896975945</v>
          </cell>
          <cell r="X26">
            <v>1751568.5853930728</v>
          </cell>
          <cell r="Y26">
            <v>284597.14615485282</v>
          </cell>
          <cell r="Z26">
            <v>475814.20336687146</v>
          </cell>
          <cell r="AA26">
            <v>1401048.1271252264</v>
          </cell>
          <cell r="AB26">
            <v>1408440.198964308</v>
          </cell>
          <cell r="AC26">
            <v>781862.67109031801</v>
          </cell>
          <cell r="AD26">
            <v>558639.42938710633</v>
          </cell>
          <cell r="AE26">
            <v>148879.78948571347</v>
          </cell>
          <cell r="AF26">
            <v>27194476.9947621</v>
          </cell>
        </row>
        <row r="27">
          <cell r="B27" t="str">
            <v>Profitability - Only Faculty Costs</v>
          </cell>
          <cell r="C27">
            <v>0.54395342897899224</v>
          </cell>
          <cell r="D27">
            <v>0.39761020404463071</v>
          </cell>
          <cell r="E27">
            <v>0.28110237804375393</v>
          </cell>
          <cell r="F27">
            <v>0.53169438298965421</v>
          </cell>
          <cell r="G27">
            <v>0.51117302701815781</v>
          </cell>
          <cell r="H27">
            <v>0.46568996933647716</v>
          </cell>
          <cell r="I27">
            <v>0.55063359503209741</v>
          </cell>
          <cell r="J27">
            <v>0.28228685562545119</v>
          </cell>
          <cell r="K27">
            <v>0.36936894826093758</v>
          </cell>
          <cell r="L27">
            <v>0.61938277980194167</v>
          </cell>
          <cell r="M27">
            <v>0.556566550419762</v>
          </cell>
          <cell r="N27">
            <v>0.51179754211444228</v>
          </cell>
          <cell r="O27">
            <v>0.45037702146230796</v>
          </cell>
          <cell r="P27">
            <v>0.43630856845593913</v>
          </cell>
          <cell r="Q27">
            <v>-2.4138869862523647E-2</v>
          </cell>
          <cell r="R27">
            <v>0.64408387018015356</v>
          </cell>
          <cell r="S27">
            <v>0.488673154794944</v>
          </cell>
          <cell r="T27">
            <v>0.53880978000836266</v>
          </cell>
          <cell r="U27">
            <v>0.64836038648409167</v>
          </cell>
          <cell r="V27">
            <v>-0.13524769039569365</v>
          </cell>
          <cell r="W27">
            <v>0.38500096029274689</v>
          </cell>
          <cell r="X27">
            <v>0.65149266825376695</v>
          </cell>
          <cell r="Y27">
            <v>0.43926448139609903</v>
          </cell>
          <cell r="Z27">
            <v>0.49890115915221589</v>
          </cell>
          <cell r="AA27">
            <v>0.64533994099139336</v>
          </cell>
          <cell r="AB27">
            <v>0.64188537216399533</v>
          </cell>
          <cell r="AC27">
            <v>0.57691119958027526</v>
          </cell>
          <cell r="AD27">
            <v>0.57212046502089331</v>
          </cell>
          <cell r="AE27">
            <v>0.24919764473926567</v>
          </cell>
        </row>
        <row r="29">
          <cell r="B29" t="str">
            <v>Direct Program Profitability</v>
          </cell>
          <cell r="C29">
            <v>417365.19529441197</v>
          </cell>
          <cell r="D29">
            <v>488095.14406014117</v>
          </cell>
          <cell r="E29">
            <v>71310.033483458683</v>
          </cell>
          <cell r="F29">
            <v>176759.58628563021</v>
          </cell>
          <cell r="G29">
            <v>571599.83421544847</v>
          </cell>
          <cell r="H29">
            <v>173497.74659935455</v>
          </cell>
          <cell r="I29">
            <v>730985.20444854873</v>
          </cell>
          <cell r="J29">
            <v>39417.323622339871</v>
          </cell>
          <cell r="K29">
            <v>273169.97772721865</v>
          </cell>
          <cell r="L29">
            <v>1776281.5436368422</v>
          </cell>
          <cell r="M29">
            <v>364115.59570673056</v>
          </cell>
          <cell r="N29">
            <v>922353.80112072453</v>
          </cell>
          <cell r="O29">
            <v>559675.78160692193</v>
          </cell>
          <cell r="P29">
            <v>3412963.1737478413</v>
          </cell>
          <cell r="Q29">
            <v>-487638.05230187031</v>
          </cell>
          <cell r="R29">
            <v>1126290.8878651625</v>
          </cell>
          <cell r="S29">
            <v>1064456.8192951912</v>
          </cell>
          <cell r="T29">
            <v>487981.5347713161</v>
          </cell>
          <cell r="U29">
            <v>2041496.8340882265</v>
          </cell>
          <cell r="V29">
            <v>-1097141.368262005</v>
          </cell>
          <cell r="W29">
            <v>854681.21869759448</v>
          </cell>
          <cell r="X29">
            <v>1635275.9773930728</v>
          </cell>
          <cell r="Y29">
            <v>214153.63615485281</v>
          </cell>
          <cell r="Z29">
            <v>383092.13936687144</v>
          </cell>
          <cell r="AA29">
            <v>1262464.7521252264</v>
          </cell>
          <cell r="AB29">
            <v>1327611.9699643077</v>
          </cell>
          <cell r="AC29">
            <v>681764.79409031803</v>
          </cell>
          <cell r="AD29">
            <v>476480.26838710648</v>
          </cell>
          <cell r="AE29">
            <v>11879.907485713484</v>
          </cell>
          <cell r="AF29">
            <v>19960441.260676689</v>
          </cell>
        </row>
        <row r="30">
          <cell r="B30" t="str">
            <v>Direct Program Profitability, %</v>
          </cell>
          <cell r="C30">
            <v>0.41709669331089866</v>
          </cell>
          <cell r="D30">
            <v>0.27288359674596119</v>
          </cell>
          <cell r="E30">
            <v>7.2207087930034344E-2</v>
          </cell>
          <cell r="F30">
            <v>0.46758788613998009</v>
          </cell>
          <cell r="G30">
            <v>0.33079925299035595</v>
          </cell>
          <cell r="H30">
            <v>0.22545967170577172</v>
          </cell>
          <cell r="I30">
            <v>0.44558904303885649</v>
          </cell>
          <cell r="J30">
            <v>9.8775760120916614E-2</v>
          </cell>
          <cell r="K30">
            <v>0.25079986433397394</v>
          </cell>
          <cell r="L30">
            <v>0.57230562107760352</v>
          </cell>
          <cell r="M30">
            <v>0.43406603335035626</v>
          </cell>
          <cell r="N30">
            <v>0.45163890603458995</v>
          </cell>
          <cell r="O30">
            <v>0.36416793040319728</v>
          </cell>
          <cell r="P30">
            <v>0.27898240821282799</v>
          </cell>
          <cell r="Q30">
            <v>-1.3739651015151213</v>
          </cell>
          <cell r="R30">
            <v>0.58970630264607027</v>
          </cell>
          <cell r="S30">
            <v>0.37522223418363765</v>
          </cell>
          <cell r="T30">
            <v>0.42138404696955384</v>
          </cell>
          <cell r="U30">
            <v>0.57126331188825796</v>
          </cell>
          <cell r="V30">
            <v>-0.41852295526697891</v>
          </cell>
          <cell r="W30">
            <v>0.24721813095960871</v>
          </cell>
          <cell r="X30">
            <v>0.6082378496209544</v>
          </cell>
          <cell r="Y30">
            <v>0.33053769932557792</v>
          </cell>
          <cell r="Z30">
            <v>0.40168013279096976</v>
          </cell>
          <cell r="AA30">
            <v>0.58150673975197975</v>
          </cell>
          <cell r="AB30">
            <v>0.60504855233225985</v>
          </cell>
          <cell r="AC30">
            <v>0.5030522107440657</v>
          </cell>
          <cell r="AD30">
            <v>0.48797864665942109</v>
          </cell>
          <cell r="AE30">
            <v>1.9884800854344683E-2</v>
          </cell>
          <cell r="AF30">
            <v>0.34998055851537202</v>
          </cell>
        </row>
        <row r="31">
          <cell r="V31">
            <v>3335281.0175004425</v>
          </cell>
        </row>
        <row r="32">
          <cell r="B32" t="str">
            <v>Total Indirect Costs</v>
          </cell>
          <cell r="C32">
            <v>811501.71220910002</v>
          </cell>
          <cell r="D32">
            <v>2330286.5372286919</v>
          </cell>
          <cell r="E32">
            <v>1182867.0484819983</v>
          </cell>
          <cell r="F32">
            <v>337707.92500960466</v>
          </cell>
          <cell r="G32">
            <v>1592840.9940286528</v>
          </cell>
          <cell r="H32">
            <v>1291907.1629616644</v>
          </cell>
          <cell r="I32">
            <v>1307540.7230944743</v>
          </cell>
          <cell r="J32">
            <v>520651.02355461207</v>
          </cell>
          <cell r="K32">
            <v>861748.32632250641</v>
          </cell>
          <cell r="L32">
            <v>2686616.4295219304</v>
          </cell>
          <cell r="M32">
            <v>579274.21869978169</v>
          </cell>
          <cell r="N32">
            <v>1976601.8597159781</v>
          </cell>
          <cell r="O32">
            <v>1472292.2109984308</v>
          </cell>
          <cell r="P32">
            <v>7917499.7285282956</v>
          </cell>
          <cell r="Q32">
            <v>1991542.6988601396</v>
          </cell>
          <cell r="R32">
            <v>1464132.0957595559</v>
          </cell>
          <cell r="S32">
            <v>3454982.3482818524</v>
          </cell>
          <cell r="T32">
            <v>843643.58884567569</v>
          </cell>
          <cell r="U32">
            <v>4925754.7564199846</v>
          </cell>
          <cell r="V32">
            <v>5643521.3783199489</v>
          </cell>
          <cell r="W32">
            <v>4841048.036346999</v>
          </cell>
          <cell r="X32">
            <v>2140631.0363418609</v>
          </cell>
          <cell r="Y32">
            <v>781567.30607413349</v>
          </cell>
          <cell r="Z32">
            <v>753169.99107020232</v>
          </cell>
          <cell r="AA32">
            <v>1854067.2852020757</v>
          </cell>
          <cell r="AB32">
            <v>1743059.5992776179</v>
          </cell>
          <cell r="AC32">
            <v>1159506.3529901118</v>
          </cell>
          <cell r="AD32">
            <v>800656.71260158601</v>
          </cell>
          <cell r="AE32">
            <v>914822.17389778839</v>
          </cell>
          <cell r="AF32">
            <v>58181441.260645255</v>
          </cell>
        </row>
        <row r="33">
          <cell r="B33" t="str">
            <v>Non-academic staff and management salaries</v>
          </cell>
          <cell r="C33">
            <v>344996.40060768387</v>
          </cell>
          <cell r="D33">
            <v>929183.55520138587</v>
          </cell>
          <cell r="E33">
            <v>472822.14529415651</v>
          </cell>
          <cell r="F33">
            <v>134746.89568466137</v>
          </cell>
          <cell r="G33">
            <v>636288.23414881143</v>
          </cell>
          <cell r="H33">
            <v>183324.68304119873</v>
          </cell>
          <cell r="I33">
            <v>521927.36269546842</v>
          </cell>
          <cell r="J33">
            <v>209943.93907200368</v>
          </cell>
          <cell r="K33">
            <v>366647.75669739337</v>
          </cell>
          <cell r="L33">
            <v>1072738.9565104658</v>
          </cell>
          <cell r="M33">
            <v>246457.4513833361</v>
          </cell>
          <cell r="N33">
            <v>788601.97610881028</v>
          </cell>
          <cell r="O33">
            <v>587931.33523280616</v>
          </cell>
          <cell r="P33">
            <v>3980561.4836531375</v>
          </cell>
          <cell r="Q33">
            <v>281356.25751712895</v>
          </cell>
          <cell r="R33">
            <v>583950.07098344807</v>
          </cell>
          <cell r="S33">
            <v>1468588.9446550405</v>
          </cell>
          <cell r="T33">
            <v>358767.53212667897</v>
          </cell>
          <cell r="U33">
            <v>1983233.3154513701</v>
          </cell>
          <cell r="V33">
            <v>2275984.9735240345</v>
          </cell>
          <cell r="W33">
            <v>688670.92201362131</v>
          </cell>
          <cell r="X33">
            <v>853505.43123044376</v>
          </cell>
          <cell r="Y33">
            <v>311761.46658741182</v>
          </cell>
          <cell r="Z33">
            <v>300474.36107447621</v>
          </cell>
          <cell r="AA33">
            <v>739602.46516844351</v>
          </cell>
          <cell r="AB33">
            <v>695480.14361787634</v>
          </cell>
          <cell r="AC33">
            <v>462870.21184468287</v>
          </cell>
          <cell r="AD33">
            <v>323112.61081589863</v>
          </cell>
          <cell r="AE33">
            <v>369133.76498624095</v>
          </cell>
          <cell r="AF33">
            <v>22172664.646928117</v>
          </cell>
        </row>
        <row r="34">
          <cell r="B34" t="str">
            <v>Old Non-academic staff and management salaries</v>
          </cell>
          <cell r="C34">
            <v>327463.07935864298</v>
          </cell>
          <cell r="D34">
            <v>881960.81970624649</v>
          </cell>
          <cell r="E34">
            <v>448792.49584708782</v>
          </cell>
          <cell r="F34">
            <v>127898.82247233595</v>
          </cell>
          <cell r="G34">
            <v>603950.95179842983</v>
          </cell>
          <cell r="H34">
            <v>174007.80160423819</v>
          </cell>
          <cell r="I34">
            <v>495402.1001052346</v>
          </cell>
          <cell r="J34">
            <v>199274.22042695494</v>
          </cell>
          <cell r="K34">
            <v>348014.07561523659</v>
          </cell>
          <cell r="L34">
            <v>1018220.4841213949</v>
          </cell>
          <cell r="M34">
            <v>233932.05209884379</v>
          </cell>
          <cell r="N34">
            <v>748523.8426546948</v>
          </cell>
          <cell r="O34">
            <v>558051.63516968396</v>
          </cell>
          <cell r="P34">
            <v>2963949.3781508328</v>
          </cell>
          <cell r="Q34">
            <v>267057.23978886742</v>
          </cell>
          <cell r="R34">
            <v>554272.70574161201</v>
          </cell>
          <cell r="S34">
            <v>1393952.6826416645</v>
          </cell>
          <cell r="T34">
            <v>340534.33785733982</v>
          </cell>
          <cell r="U34">
            <v>1882441.925250313</v>
          </cell>
          <cell r="V34">
            <v>2160315.4313824465</v>
          </cell>
          <cell r="W34">
            <v>653671.45973149489</v>
          </cell>
          <cell r="X34">
            <v>810128.79052577191</v>
          </cell>
          <cell r="Y34">
            <v>295917.20288749813</v>
          </cell>
          <cell r="Z34">
            <v>285203.72784311674</v>
          </cell>
          <cell r="AA34">
            <v>702014.57267003099</v>
          </cell>
          <cell r="AB34">
            <v>660134.62476926693</v>
          </cell>
          <cell r="AC34">
            <v>439346.33708370174</v>
          </cell>
          <cell r="AD34">
            <v>306691.46208775946</v>
          </cell>
          <cell r="AE34">
            <v>350373.74060925742</v>
          </cell>
          <cell r="AF34">
            <v>20231498</v>
          </cell>
        </row>
        <row r="35">
          <cell r="B35" t="str">
            <v>Non-academic staff and management benefits</v>
          </cell>
          <cell r="C35">
            <v>104961.28356497694</v>
          </cell>
          <cell r="D35">
            <v>275091.32882037677</v>
          </cell>
          <cell r="E35">
            <v>140142.05175762149</v>
          </cell>
          <cell r="F35">
            <v>39904.91949730456</v>
          </cell>
          <cell r="G35">
            <v>188536.26359809545</v>
          </cell>
          <cell r="H35">
            <v>64079.701659476894</v>
          </cell>
          <cell r="I35">
            <v>154596.58080354944</v>
          </cell>
          <cell r="J35">
            <v>97722.255337223382</v>
          </cell>
          <cell r="K35">
            <v>111586.09083091695</v>
          </cell>
          <cell r="L35">
            <v>317794.00790281995</v>
          </cell>
          <cell r="M35">
            <v>75006.408069617144</v>
          </cell>
          <cell r="N35">
            <v>233532.60556420265</v>
          </cell>
          <cell r="O35">
            <v>174180.17479369836</v>
          </cell>
          <cell r="P35">
            <v>1392485.2805108367</v>
          </cell>
          <cell r="Q35">
            <v>98347.838134967067</v>
          </cell>
          <cell r="R35">
            <v>172901.59224274647</v>
          </cell>
          <cell r="S35">
            <v>446770.66907802934</v>
          </cell>
          <cell r="T35">
            <v>109164.82700609602</v>
          </cell>
          <cell r="U35">
            <v>924071.98042954528</v>
          </cell>
          <cell r="V35">
            <v>1059296.0439764077</v>
          </cell>
          <cell r="W35">
            <v>240716.80000275065</v>
          </cell>
          <cell r="X35">
            <v>252678.80710661819</v>
          </cell>
          <cell r="Y35">
            <v>92315.326075638222</v>
          </cell>
          <cell r="Z35">
            <v>88978.65677957634</v>
          </cell>
          <cell r="AA35">
            <v>219006.756732045</v>
          </cell>
          <cell r="AB35">
            <v>205963.41312016666</v>
          </cell>
          <cell r="AC35">
            <v>137108.23070317341</v>
          </cell>
          <cell r="AD35">
            <v>150316.83050418686</v>
          </cell>
          <cell r="AE35">
            <v>171742.66947576977</v>
          </cell>
          <cell r="AF35">
            <v>7738999.3940784326</v>
          </cell>
        </row>
        <row r="36">
          <cell r="B36" t="str">
            <v>Old Non-academic staff and management benefits</v>
          </cell>
          <cell r="C36">
            <v>92397.707139796199</v>
          </cell>
          <cell r="D36">
            <v>242163.65476616431</v>
          </cell>
          <cell r="E36">
            <v>123367.43431929196</v>
          </cell>
          <cell r="F36">
            <v>35128.41059023972</v>
          </cell>
          <cell r="G36">
            <v>165968.9923512043</v>
          </cell>
          <cell r="H36">
            <v>56409.537940459159</v>
          </cell>
          <cell r="I36">
            <v>136091.79606742683</v>
          </cell>
          <cell r="J36">
            <v>86025.170643987978</v>
          </cell>
          <cell r="K36">
            <v>98229.54323045323</v>
          </cell>
          <cell r="L36">
            <v>279754.94082834094</v>
          </cell>
          <cell r="M36">
            <v>66028.347701504725</v>
          </cell>
          <cell r="N36">
            <v>205579.39616998698</v>
          </cell>
          <cell r="O36">
            <v>153331.28781893806</v>
          </cell>
          <cell r="P36">
            <v>961789.57767469692</v>
          </cell>
          <cell r="Q36">
            <v>86575.872904615651</v>
          </cell>
          <cell r="R36">
            <v>152205.74807624074</v>
          </cell>
          <cell r="S36">
            <v>393293.45105204964</v>
          </cell>
          <cell r="T36">
            <v>96098.098013746319</v>
          </cell>
          <cell r="U36">
            <v>813463.11062368308</v>
          </cell>
          <cell r="V36">
            <v>932501.2263696806</v>
          </cell>
          <cell r="W36">
            <v>211903.66233006475</v>
          </cell>
          <cell r="X36">
            <v>222433.85014453725</v>
          </cell>
          <cell r="Y36">
            <v>81265.435916389426</v>
          </cell>
          <cell r="Z36">
            <v>78328.156740977851</v>
          </cell>
          <cell r="AA36">
            <v>192792.25141751466</v>
          </cell>
          <cell r="AB36">
            <v>181310.16009545117</v>
          </cell>
          <cell r="AC36">
            <v>120696.75328546192</v>
          </cell>
          <cell r="AD36">
            <v>132324.32008617933</v>
          </cell>
          <cell r="AE36">
            <v>151185.54517109555</v>
          </cell>
          <cell r="AF36">
            <v>6548643.4394701794</v>
          </cell>
        </row>
        <row r="37">
          <cell r="B37" t="str">
            <v>Operating expenses</v>
          </cell>
          <cell r="C37">
            <v>247848.74350046369</v>
          </cell>
          <cell r="D37">
            <v>763960.71167038288</v>
          </cell>
          <cell r="E37">
            <v>386861.5068226569</v>
          </cell>
          <cell r="F37">
            <v>110643.3900060897</v>
          </cell>
          <cell r="G37">
            <v>521273.5383526074</v>
          </cell>
          <cell r="H37">
            <v>970318.62097510416</v>
          </cell>
          <cell r="I37">
            <v>428219.87136284757</v>
          </cell>
          <cell r="J37">
            <v>133962.57464520348</v>
          </cell>
          <cell r="K37">
            <v>262965.2232046334</v>
          </cell>
          <cell r="L37">
            <v>879603.9299112591</v>
          </cell>
          <cell r="M37">
            <v>176772.23090735657</v>
          </cell>
          <cell r="N37">
            <v>647651.27970297472</v>
          </cell>
          <cell r="O37">
            <v>481983.78236425918</v>
          </cell>
          <cell r="P37">
            <v>1636503.3871479491</v>
          </cell>
          <cell r="Q37">
            <v>1497336.969136352</v>
          </cell>
          <cell r="R37">
            <v>479889.86346141039</v>
          </cell>
          <cell r="S37">
            <v>1055409.8383512413</v>
          </cell>
          <cell r="T37">
            <v>257581.0227304865</v>
          </cell>
          <cell r="U37">
            <v>1268947.5670909188</v>
          </cell>
          <cell r="V37">
            <v>1451897.1538889683</v>
          </cell>
          <cell r="W37">
            <v>3633872.8992764172</v>
          </cell>
          <cell r="X37">
            <v>701827.61452189169</v>
          </cell>
          <cell r="Y37">
            <v>256134.90828580459</v>
          </cell>
          <cell r="Z37">
            <v>246796.29053730966</v>
          </cell>
          <cell r="AA37">
            <v>607591.27905092598</v>
          </cell>
          <cell r="AB37">
            <v>571085.77330681041</v>
          </cell>
          <cell r="AC37">
            <v>379711.96397755673</v>
          </cell>
          <cell r="AD37">
            <v>205871.66615622171</v>
          </cell>
          <cell r="AE37">
            <v>235253.61929260177</v>
          </cell>
          <cell r="AF37">
            <v>20497777.219638705</v>
          </cell>
        </row>
        <row r="38">
          <cell r="B38" t="str">
            <v>Old Operating Expenses</v>
          </cell>
          <cell r="C38">
            <v>229657.3333500108</v>
          </cell>
          <cell r="D38">
            <v>707888.11493840953</v>
          </cell>
          <cell r="E38">
            <v>358466.94551627687</v>
          </cell>
          <cell r="F38">
            <v>102522.47214461371</v>
          </cell>
          <cell r="G38">
            <v>483013.50683974894</v>
          </cell>
          <cell r="H38">
            <v>899099.92621199379</v>
          </cell>
          <cell r="I38">
            <v>396789.72084235016</v>
          </cell>
          <cell r="J38">
            <v>124130.09332710877</v>
          </cell>
          <cell r="K38">
            <v>243664.30538250238</v>
          </cell>
          <cell r="L38">
            <v>815043.44179671677</v>
          </cell>
          <cell r="M38">
            <v>163797.63958916307</v>
          </cell>
          <cell r="N38">
            <v>600115.47259277874</v>
          </cell>
          <cell r="O38">
            <v>446607.50993688474</v>
          </cell>
          <cell r="P38">
            <v>1516388.5787863806</v>
          </cell>
          <cell r="Q38">
            <v>1387436.589758619</v>
          </cell>
          <cell r="R38">
            <v>444667.27887221309</v>
          </cell>
          <cell r="S38">
            <v>977945.68430668116</v>
          </cell>
          <cell r="T38">
            <v>238675.29028542916</v>
          </cell>
          <cell r="U38">
            <v>1175810.336188124</v>
          </cell>
          <cell r="V38">
            <v>1345331.9308838332</v>
          </cell>
          <cell r="W38">
            <v>3367156.7101534773</v>
          </cell>
          <cell r="X38">
            <v>650315.41474082728</v>
          </cell>
          <cell r="Y38">
            <v>237335.31662893994</v>
          </cell>
          <cell r="Z38">
            <v>228682.1275144653</v>
          </cell>
          <cell r="AA38">
            <v>562995.76484759094</v>
          </cell>
          <cell r="AB38">
            <v>529169.66194555466</v>
          </cell>
          <cell r="AC38">
            <v>351842.15928057709</v>
          </cell>
          <cell r="AD38">
            <v>190761.25702316943</v>
          </cell>
          <cell r="AE38">
            <v>217986.6563155544</v>
          </cell>
          <cell r="AF38">
            <v>18993297.239999995</v>
          </cell>
        </row>
        <row r="39">
          <cell r="B39" t="str">
            <v>Endowment Draw/Debt Service</v>
          </cell>
          <cell r="C39">
            <v>113695.28453597552</v>
          </cell>
          <cell r="D39">
            <v>362050.94153654616</v>
          </cell>
          <cell r="E39">
            <v>183041.34460756343</v>
          </cell>
          <cell r="F39">
            <v>52412.719821548992</v>
          </cell>
          <cell r="G39">
            <v>246742.95792913836</v>
          </cell>
          <cell r="H39">
            <v>74184.157285884736</v>
          </cell>
          <cell r="I39">
            <v>202796.90823260881</v>
          </cell>
          <cell r="J39">
            <v>79022.25450018156</v>
          </cell>
          <cell r="K39">
            <v>120549.25558956269</v>
          </cell>
          <cell r="L39">
            <v>416479.53519738547</v>
          </cell>
          <cell r="M39">
            <v>81038.128339471907</v>
          </cell>
          <cell r="N39">
            <v>306815.99833999062</v>
          </cell>
          <cell r="O39">
            <v>228196.91860766718</v>
          </cell>
          <cell r="P39">
            <v>907949.57721637178</v>
          </cell>
          <cell r="Q39">
            <v>114501.63407169166</v>
          </cell>
          <cell r="R39">
            <v>227390.56907195103</v>
          </cell>
          <cell r="S39">
            <v>484212.89619754109</v>
          </cell>
          <cell r="T39">
            <v>118130.20698241427</v>
          </cell>
          <cell r="U39">
            <v>749501.8934481506</v>
          </cell>
          <cell r="V39">
            <v>856343.20693053899</v>
          </cell>
          <cell r="W39">
            <v>277787.4150542097</v>
          </cell>
          <cell r="X39">
            <v>332619.18348290707</v>
          </cell>
          <cell r="Y39">
            <v>121355.60512527883</v>
          </cell>
          <cell r="Z39">
            <v>116920.68267884006</v>
          </cell>
          <cell r="AA39">
            <v>287866.78425066138</v>
          </cell>
          <cell r="AB39">
            <v>270530.26923276443</v>
          </cell>
          <cell r="AC39">
            <v>179815.94646469885</v>
          </cell>
          <cell r="AD39">
            <v>121355.60512527883</v>
          </cell>
          <cell r="AE39">
            <v>138692.12014317582</v>
          </cell>
          <cell r="AF39">
            <v>7772000</v>
          </cell>
        </row>
        <row r="41">
          <cell r="B41" t="str">
            <v>Non-tuition revenues</v>
          </cell>
          <cell r="C41">
            <v>267538.34267093957</v>
          </cell>
          <cell r="D41">
            <v>831834.78686073597</v>
          </cell>
          <cell r="E41">
            <v>381732.18283085286</v>
          </cell>
          <cell r="F41">
            <v>117468.13395392346</v>
          </cell>
          <cell r="G41">
            <v>528351.6019446291</v>
          </cell>
          <cell r="H41">
            <v>40184.465266612337</v>
          </cell>
          <cell r="I41">
            <v>447393.30937151687</v>
          </cell>
          <cell r="J41">
            <v>168785.6518309552</v>
          </cell>
          <cell r="K41">
            <v>272825.59954310255</v>
          </cell>
          <cell r="L41">
            <v>907776.07514040009</v>
          </cell>
          <cell r="M41">
            <v>183634.73970477856</v>
          </cell>
          <cell r="N41">
            <v>689997.53996053478</v>
          </cell>
          <cell r="O41">
            <v>495385.91238493944</v>
          </cell>
          <cell r="P41">
            <v>607470.10556185897</v>
          </cell>
          <cell r="Q41">
            <v>82359.712552674129</v>
          </cell>
          <cell r="R41">
            <v>517810.93049273209</v>
          </cell>
          <cell r="S41">
            <v>1148352.6827479817</v>
          </cell>
          <cell r="T41">
            <v>273989.04555521609</v>
          </cell>
          <cell r="U41">
            <v>1702732.9080563663</v>
          </cell>
          <cell r="V41">
            <v>1817933.2114242739</v>
          </cell>
          <cell r="W41">
            <v>122540.0094247713</v>
          </cell>
          <cell r="X41">
            <v>766031.40135487425</v>
          </cell>
          <cell r="Y41">
            <v>274897.29344350158</v>
          </cell>
          <cell r="Z41">
            <v>263502.97699130682</v>
          </cell>
          <cell r="AA41">
            <v>651126.17515986075</v>
          </cell>
          <cell r="AB41">
            <v>606584.75630128151</v>
          </cell>
          <cell r="AC41">
            <v>395580.99036918883</v>
          </cell>
          <cell r="AD41">
            <v>250333.85716513934</v>
          </cell>
          <cell r="AE41">
            <v>287845.60190360149</v>
          </cell>
          <cell r="AF41">
            <v>15101999.999968549</v>
          </cell>
        </row>
        <row r="42">
          <cell r="B42" t="str">
            <v>Old Non-tuition revenues</v>
          </cell>
          <cell r="C42">
            <v>259182.71386581252</v>
          </cell>
          <cell r="D42">
            <v>805855.32299469458</v>
          </cell>
          <cell r="E42">
            <v>369810.10694871069</v>
          </cell>
          <cell r="F42">
            <v>113799.42570840237</v>
          </cell>
          <cell r="G42">
            <v>511850.37890358834</v>
          </cell>
          <cell r="H42">
            <v>38929.4433802231</v>
          </cell>
          <cell r="I42">
            <v>433420.53677494125</v>
          </cell>
          <cell r="J42">
            <v>163514.21955604764</v>
          </cell>
          <cell r="K42">
            <v>264304.84167505277</v>
          </cell>
          <cell r="L42">
            <v>879424.84949429682</v>
          </cell>
          <cell r="M42">
            <v>177899.54786131828</v>
          </cell>
          <cell r="N42">
            <v>668447.86875152914</v>
          </cell>
          <cell r="O42">
            <v>479914.25790037517</v>
          </cell>
          <cell r="P42">
            <v>588497.89147989755</v>
          </cell>
          <cell r="Q42">
            <v>79787.49363363297</v>
          </cell>
          <cell r="R42">
            <v>501638.90863134124</v>
          </cell>
          <cell r="S42">
            <v>1112487.8842349118</v>
          </cell>
          <cell r="T42">
            <v>265431.95150105195</v>
          </cell>
          <cell r="U42">
            <v>1649553.9730597755</v>
          </cell>
          <cell r="V42">
            <v>1761156.3959759672</v>
          </cell>
          <cell r="W42">
            <v>118712.89880463298</v>
          </cell>
          <cell r="X42">
            <v>742107.07716682635</v>
          </cell>
          <cell r="Y42">
            <v>266311.83342825016</v>
          </cell>
          <cell r="Z42">
            <v>255273.37878566448</v>
          </cell>
          <cell r="AA42">
            <v>630790.51571522711</v>
          </cell>
          <cell r="AB42">
            <v>587640.19302148325</v>
          </cell>
          <cell r="AC42">
            <v>383226.39519269526</v>
          </cell>
          <cell r="AD42">
            <v>242515.55057422092</v>
          </cell>
          <cell r="AE42">
            <v>278855.74654797843</v>
          </cell>
          <cell r="AF42">
            <v>14630341.60156855</v>
          </cell>
        </row>
        <row r="44">
          <cell r="B44" t="str">
            <v>Overall Program Profitability, $</v>
          </cell>
          <cell r="C44">
            <v>-126598.17424374848</v>
          </cell>
          <cell r="D44">
            <v>-1010356.6063078147</v>
          </cell>
          <cell r="E44">
            <v>-729824.83216768666</v>
          </cell>
          <cell r="F44">
            <v>-43480.204770050987</v>
          </cell>
          <cell r="G44">
            <v>-492889.55786857521</v>
          </cell>
          <cell r="H44">
            <v>-1078224.9510956975</v>
          </cell>
          <cell r="I44">
            <v>-129162.2092744087</v>
          </cell>
          <cell r="J44">
            <v>-312448.04810131702</v>
          </cell>
          <cell r="K44">
            <v>-315752.74905218522</v>
          </cell>
          <cell r="L44">
            <v>-2558.8107446881477</v>
          </cell>
          <cell r="M44">
            <v>-31523.883288272569</v>
          </cell>
          <cell r="N44">
            <v>-364250.51863471884</v>
          </cell>
          <cell r="O44">
            <v>-417230.51700656948</v>
          </cell>
          <cell r="P44">
            <v>-3897066.4492185963</v>
          </cell>
          <cell r="Q44">
            <v>-2396821.0386093357</v>
          </cell>
          <cell r="R44">
            <v>179969.72259833862</v>
          </cell>
          <cell r="S44">
            <v>-1242172.8462386795</v>
          </cell>
          <cell r="T44">
            <v>-81673.008519143506</v>
          </cell>
          <cell r="U44">
            <v>-1181525.0142753916</v>
          </cell>
          <cell r="V44">
            <v>-4922729.5351576805</v>
          </cell>
          <cell r="W44">
            <v>-3863826.8082246333</v>
          </cell>
          <cell r="X44">
            <v>260676.34240608639</v>
          </cell>
          <cell r="Y44">
            <v>-292516.37647577911</v>
          </cell>
          <cell r="Z44">
            <v>-106574.874712024</v>
          </cell>
          <cell r="AA44">
            <v>59523.642083011451</v>
          </cell>
          <cell r="AB44">
            <v>191137.1269879716</v>
          </cell>
          <cell r="AC44">
            <v>-82160.568530604942</v>
          </cell>
          <cell r="AD44">
            <v>-73842.587049340189</v>
          </cell>
          <cell r="AE44">
            <v>-615096.66450847336</v>
          </cell>
          <cell r="AF44">
            <v>-23119000.000000004</v>
          </cell>
        </row>
        <row r="46">
          <cell r="B46" t="str">
            <v>Indirect Cost - Even Split</v>
          </cell>
          <cell r="C46">
            <v>2006256.5951946641</v>
          </cell>
          <cell r="D46">
            <v>2006256.5951946641</v>
          </cell>
          <cell r="E46">
            <v>2006256.5951946641</v>
          </cell>
          <cell r="F46">
            <v>2006256.5951946641</v>
          </cell>
          <cell r="G46">
            <v>2006256.5951946641</v>
          </cell>
          <cell r="H46">
            <v>2006256.5951946641</v>
          </cell>
          <cell r="I46">
            <v>2006256.5951946641</v>
          </cell>
          <cell r="J46">
            <v>2006256.5951946641</v>
          </cell>
          <cell r="K46">
            <v>2006256.5951946641</v>
          </cell>
          <cell r="L46">
            <v>2006256.5951946641</v>
          </cell>
          <cell r="M46">
            <v>2006256.5951946641</v>
          </cell>
          <cell r="N46">
            <v>2006256.5951946641</v>
          </cell>
          <cell r="O46">
            <v>2006256.5951946641</v>
          </cell>
          <cell r="P46">
            <v>2006256.5951946641</v>
          </cell>
          <cell r="Q46">
            <v>2006256.5951946641</v>
          </cell>
          <cell r="R46">
            <v>2006256.5951946641</v>
          </cell>
          <cell r="S46">
            <v>2006256.5951946641</v>
          </cell>
          <cell r="T46">
            <v>2006256.5951946641</v>
          </cell>
          <cell r="U46">
            <v>2006256.5951946641</v>
          </cell>
          <cell r="V46">
            <v>2006256.5951946641</v>
          </cell>
          <cell r="W46">
            <v>2006256.5951946641</v>
          </cell>
          <cell r="X46">
            <v>2006256.5951946641</v>
          </cell>
          <cell r="Y46">
            <v>2006256.5951946641</v>
          </cell>
          <cell r="Z46">
            <v>2006256.5951946641</v>
          </cell>
          <cell r="AA46">
            <v>2006256.5951946641</v>
          </cell>
          <cell r="AB46">
            <v>2006256.5951946641</v>
          </cell>
          <cell r="AC46">
            <v>2006256.5951946641</v>
          </cell>
          <cell r="AD46">
            <v>2006256.5951946641</v>
          </cell>
          <cell r="AE46">
            <v>2006256.5951946641</v>
          </cell>
          <cell r="AF46">
            <v>58181441.2606453</v>
          </cell>
        </row>
        <row r="48">
          <cell r="B48" t="str">
            <v>Overall Program Profitability after even indirect split</v>
          </cell>
          <cell r="C48">
            <v>-1321353.0572293124</v>
          </cell>
          <cell r="D48">
            <v>-686326.66427378694</v>
          </cell>
          <cell r="E48">
            <v>-1553214.3788803525</v>
          </cell>
          <cell r="F48">
            <v>-1712028.8749551105</v>
          </cell>
          <cell r="G48">
            <v>-906305.15903458651</v>
          </cell>
          <cell r="H48">
            <v>-1792574.3833286972</v>
          </cell>
          <cell r="I48">
            <v>-827878.08137459843</v>
          </cell>
          <cell r="J48">
            <v>-1798053.619741369</v>
          </cell>
          <cell r="K48">
            <v>-1460261.0179243428</v>
          </cell>
          <cell r="L48">
            <v>677801.02358257817</v>
          </cell>
          <cell r="M48">
            <v>-1458506.2597831548</v>
          </cell>
          <cell r="N48">
            <v>-393905.25411340478</v>
          </cell>
          <cell r="O48">
            <v>-951194.90120280278</v>
          </cell>
          <cell r="P48">
            <v>2014176.6841150357</v>
          </cell>
          <cell r="Q48">
            <v>-2411534.9349438604</v>
          </cell>
          <cell r="R48">
            <v>-362154.77683676954</v>
          </cell>
          <cell r="S48">
            <v>206552.90684850886</v>
          </cell>
          <cell r="T48">
            <v>-1244286.0148681321</v>
          </cell>
          <cell r="U48">
            <v>1737973.1469499287</v>
          </cell>
          <cell r="V48">
            <v>-1285464.752032395</v>
          </cell>
          <cell r="W48">
            <v>-1029035.3670722981</v>
          </cell>
          <cell r="X48">
            <v>395050.7835532832</v>
          </cell>
          <cell r="Y48">
            <v>-1517205.6655963096</v>
          </cell>
          <cell r="Z48">
            <v>-1359661.4788364859</v>
          </cell>
          <cell r="AA48">
            <v>-92665.667909576907</v>
          </cell>
          <cell r="AB48">
            <v>-72059.868929074612</v>
          </cell>
          <cell r="AC48">
            <v>-928910.81073515723</v>
          </cell>
          <cell r="AD48">
            <v>-1279442.4696424182</v>
          </cell>
          <cell r="AE48">
            <v>-1706531.0858053491</v>
          </cell>
          <cell r="AF48">
            <v>-23119000.000000011</v>
          </cell>
        </row>
        <row r="50">
          <cell r="B50" t="str">
            <v>6 account spend</v>
          </cell>
          <cell r="C50">
            <v>254783.54328939447</v>
          </cell>
          <cell r="D50">
            <v>1062859.3438534886</v>
          </cell>
          <cell r="E50">
            <v>404503.80261635181</v>
          </cell>
          <cell r="F50">
            <v>105107.61792979235</v>
          </cell>
          <cell r="G50">
            <v>755170.23440794554</v>
          </cell>
          <cell r="H50">
            <v>183466.28265523838</v>
          </cell>
          <cell r="I50">
            <v>407116.77937450435</v>
          </cell>
          <cell r="J50">
            <v>157921.61961464357</v>
          </cell>
          <cell r="K50">
            <v>270142.83490613103</v>
          </cell>
          <cell r="L50">
            <v>1077230.3324728888</v>
          </cell>
          <cell r="M50">
            <v>181601.03617435566</v>
          </cell>
          <cell r="N50">
            <v>671843.53495824605</v>
          </cell>
          <cell r="O50">
            <v>553532.11806355743</v>
          </cell>
          <cell r="P50">
            <v>5523112.9007770922</v>
          </cell>
          <cell r="Q50">
            <v>538470.22888091137</v>
          </cell>
          <cell r="R50">
            <v>459570.05778771453</v>
          </cell>
          <cell r="S50">
            <v>1085088.7783353289</v>
          </cell>
          <cell r="T50">
            <v>264721.90845316515</v>
          </cell>
          <cell r="U50">
            <v>1497838.2186919511</v>
          </cell>
          <cell r="V50">
            <v>1711354.6941913418</v>
          </cell>
          <cell r="W50">
            <v>977936.49059488717</v>
          </cell>
          <cell r="X50">
            <v>674057.23378522077</v>
          </cell>
          <cell r="Y50">
            <v>389053.01151436532</v>
          </cell>
          <cell r="Z50">
            <v>235757.65999722912</v>
          </cell>
          <cell r="AA50">
            <v>577283.37847593648</v>
          </cell>
          <cell r="AB50">
            <v>741223.10254531284</v>
          </cell>
          <cell r="AC50">
            <v>648615.93151297991</v>
          </cell>
          <cell r="AD50">
            <v>242522.48726534549</v>
          </cell>
          <cell r="AE50">
            <v>277168.55687468057</v>
          </cell>
        </row>
        <row r="51">
          <cell r="B51" t="str">
            <v>LessRestricted</v>
          </cell>
          <cell r="C51">
            <v>132417.8186562818</v>
          </cell>
          <cell r="D51">
            <v>522804.71583888016</v>
          </cell>
          <cell r="E51">
            <v>239560.94493413321</v>
          </cell>
          <cell r="F51">
            <v>61462.492382020515</v>
          </cell>
          <cell r="G51">
            <v>457894.75259843504</v>
          </cell>
          <cell r="H51">
            <v>92423.39539203397</v>
          </cell>
          <cell r="I51">
            <v>238243.71667812555</v>
          </cell>
          <cell r="J51">
            <v>86209.249165077083</v>
          </cell>
          <cell r="K51">
            <v>140400.45311428461</v>
          </cell>
          <cell r="L51">
            <v>627901.46023559384</v>
          </cell>
          <cell r="M51">
            <v>94382.913297562569</v>
          </cell>
          <cell r="N51">
            <v>416351.68463628931</v>
          </cell>
          <cell r="O51">
            <v>343511.67606325855</v>
          </cell>
          <cell r="P51">
            <v>2221006.0875737928</v>
          </cell>
          <cell r="Q51">
            <v>151021.86158335677</v>
          </cell>
          <cell r="R51">
            <v>267343.12925738131</v>
          </cell>
          <cell r="S51">
            <v>563949.64612125687</v>
          </cell>
          <cell r="T51">
            <v>137583.05271734242</v>
          </cell>
          <cell r="U51">
            <v>817668.33774427697</v>
          </cell>
          <cell r="V51">
            <v>934226.76136032515</v>
          </cell>
          <cell r="W51">
            <v>547394.73165821412</v>
          </cell>
          <cell r="X51">
            <v>390050.432424361</v>
          </cell>
          <cell r="Y51">
            <v>159030.3592845244</v>
          </cell>
          <cell r="Z51">
            <v>138395.45685219963</v>
          </cell>
          <cell r="AA51">
            <v>337570.91969817423</v>
          </cell>
          <cell r="AB51">
            <v>377582.49837181356</v>
          </cell>
          <cell r="AC51">
            <v>498879.5777106242</v>
          </cell>
          <cell r="AD51">
            <v>132392.77550351122</v>
          </cell>
          <cell r="AE51">
            <v>151306.02914686999</v>
          </cell>
        </row>
        <row r="52">
          <cell r="B52" t="str">
            <v>HighRestricted</v>
          </cell>
          <cell r="C52">
            <v>122365.72463311267</v>
          </cell>
          <cell r="D52">
            <v>540054.62801460852</v>
          </cell>
          <cell r="E52">
            <v>164942.8576822186</v>
          </cell>
          <cell r="F52">
            <v>43645.125547771844</v>
          </cell>
          <cell r="G52">
            <v>297275.48180951056</v>
          </cell>
          <cell r="H52">
            <v>91042.887263204408</v>
          </cell>
          <cell r="I52">
            <v>168873.06269637877</v>
          </cell>
          <cell r="J52">
            <v>71712.370449566501</v>
          </cell>
          <cell r="K52">
            <v>129742.38179184642</v>
          </cell>
          <cell r="L52">
            <v>449328.8722372948</v>
          </cell>
          <cell r="M52">
            <v>87218.122876793073</v>
          </cell>
          <cell r="N52">
            <v>255491.85032195671</v>
          </cell>
          <cell r="O52">
            <v>210020.44200029894</v>
          </cell>
          <cell r="P52">
            <v>3302106.8132032994</v>
          </cell>
          <cell r="Q52">
            <v>387448.36729755462</v>
          </cell>
          <cell r="R52">
            <v>192226.92853033321</v>
          </cell>
          <cell r="S52">
            <v>521139.13221407204</v>
          </cell>
          <cell r="T52">
            <v>127138.85573582273</v>
          </cell>
          <cell r="U52">
            <v>680169.88094767416</v>
          </cell>
          <cell r="V52">
            <v>777127.9328310166</v>
          </cell>
          <cell r="W52">
            <v>430541.75893667305</v>
          </cell>
          <cell r="X52">
            <v>284006.80136085977</v>
          </cell>
          <cell r="Y52">
            <v>230022.65222984095</v>
          </cell>
          <cell r="Z52">
            <v>97362.203145029489</v>
          </cell>
          <cell r="AA52">
            <v>239712.45877776225</v>
          </cell>
          <cell r="AB52">
            <v>363640.60417349928</v>
          </cell>
          <cell r="AC52">
            <v>149736.3538023557</v>
          </cell>
          <cell r="AD52">
            <v>110129.71176183427</v>
          </cell>
          <cell r="AE52">
            <v>125862.52772781059</v>
          </cell>
        </row>
        <row r="54">
          <cell r="B54" t="str">
            <v>Profitabilty after 6 accounts</v>
          </cell>
          <cell r="C54">
            <v>-381381.71753314295</v>
          </cell>
          <cell r="D54">
            <v>-2073215.9501613034</v>
          </cell>
          <cell r="E54">
            <v>-1134328.6347840384</v>
          </cell>
          <cell r="F54">
            <v>-148587.82269984332</v>
          </cell>
          <cell r="G54">
            <v>-1248059.7922765207</v>
          </cell>
          <cell r="H54">
            <v>-1261691.2337509359</v>
          </cell>
          <cell r="I54">
            <v>-536278.9886489131</v>
          </cell>
          <cell r="J54">
            <v>-470369.66771596059</v>
          </cell>
          <cell r="K54">
            <v>-585895.58395831625</v>
          </cell>
          <cell r="L54">
            <v>-1079789.1432175769</v>
          </cell>
          <cell r="M54">
            <v>-213124.91946262823</v>
          </cell>
          <cell r="N54">
            <v>-1036094.0535929649</v>
          </cell>
          <cell r="O54">
            <v>-970762.63507012697</v>
          </cell>
          <cell r="P54">
            <v>-9420179.3499956876</v>
          </cell>
          <cell r="Q54">
            <v>-2935291.2674902473</v>
          </cell>
          <cell r="R54">
            <v>-279600.33518937591</v>
          </cell>
          <cell r="S54">
            <v>-2327261.6245740084</v>
          </cell>
          <cell r="T54">
            <v>-346394.91697230865</v>
          </cell>
          <cell r="U54">
            <v>-2679363.2329673427</v>
          </cell>
          <cell r="V54">
            <v>-6634084.2293490227</v>
          </cell>
          <cell r="W54">
            <v>-4841763.2988195205</v>
          </cell>
          <cell r="X54">
            <v>-413380.89137913438</v>
          </cell>
          <cell r="Y54">
            <v>-681569.38799014443</v>
          </cell>
          <cell r="Z54">
            <v>-342332.53470925312</v>
          </cell>
          <cell r="AA54">
            <v>-517759.73639292503</v>
          </cell>
          <cell r="AB54">
            <v>-550085.97555734124</v>
          </cell>
          <cell r="AC54">
            <v>-730776.50004358485</v>
          </cell>
          <cell r="AD54">
            <v>-316365.07431468565</v>
          </cell>
          <cell r="AE54">
            <v>-892265.22138315393</v>
          </cell>
          <cell r="AF54">
            <v>-45048053.720000006</v>
          </cell>
        </row>
        <row r="56">
          <cell r="B56" t="str">
            <v>Old analysis on key drivers and revenues generated by majors</v>
          </cell>
        </row>
        <row r="57">
          <cell r="B57" t="str">
            <v>Key Drivers</v>
          </cell>
        </row>
        <row r="58">
          <cell r="B58" t="str">
            <v>Total enrollment by program (Duplicated headcount)</v>
          </cell>
          <cell r="C58">
            <v>282</v>
          </cell>
          <cell r="D58">
            <v>898</v>
          </cell>
          <cell r="E58">
            <v>454</v>
          </cell>
          <cell r="F58">
            <v>130</v>
          </cell>
          <cell r="G58">
            <v>612</v>
          </cell>
          <cell r="H58">
            <v>184</v>
          </cell>
          <cell r="I58">
            <v>503</v>
          </cell>
          <cell r="J58">
            <v>196</v>
          </cell>
          <cell r="K58">
            <v>299</v>
          </cell>
          <cell r="L58">
            <v>1033</v>
          </cell>
          <cell r="M58">
            <v>201</v>
          </cell>
          <cell r="N58">
            <v>761</v>
          </cell>
          <cell r="O58">
            <v>566</v>
          </cell>
          <cell r="P58">
            <v>2252</v>
          </cell>
          <cell r="Q58">
            <v>284</v>
          </cell>
          <cell r="R58">
            <v>564</v>
          </cell>
          <cell r="S58">
            <v>1201</v>
          </cell>
          <cell r="T58">
            <v>293</v>
          </cell>
          <cell r="U58">
            <v>1859</v>
          </cell>
          <cell r="V58">
            <v>2124</v>
          </cell>
          <cell r="W58">
            <v>689</v>
          </cell>
          <cell r="X58">
            <v>825</v>
          </cell>
          <cell r="Y58">
            <v>301</v>
          </cell>
          <cell r="Z58">
            <v>290</v>
          </cell>
          <cell r="AA58">
            <v>714</v>
          </cell>
          <cell r="AB58">
            <v>671</v>
          </cell>
          <cell r="AC58">
            <v>446</v>
          </cell>
          <cell r="AD58">
            <v>301</v>
          </cell>
          <cell r="AE58">
            <v>344</v>
          </cell>
          <cell r="AF58">
            <v>19277</v>
          </cell>
        </row>
        <row r="59">
          <cell r="B59" t="str">
            <v>Net tuition revenue by program by student (Duplicated headcount)</v>
          </cell>
          <cell r="C59">
            <v>3548.3820580822548</v>
          </cell>
          <cell r="D59">
            <v>1991.8228931627407</v>
          </cell>
          <cell r="E59">
            <v>2175.278948872779</v>
          </cell>
          <cell r="F59">
            <v>2907.8792791202322</v>
          </cell>
          <cell r="G59">
            <v>2823.4243238814515</v>
          </cell>
          <cell r="H59">
            <v>4182.2226065182313</v>
          </cell>
          <cell r="I59">
            <v>3261.4152573529796</v>
          </cell>
          <cell r="J59">
            <v>2036.0136307262235</v>
          </cell>
          <cell r="K59">
            <v>3642.7929020977213</v>
          </cell>
          <cell r="L59">
            <v>3004.5779125235645</v>
          </cell>
          <cell r="M59">
            <v>4173.3751030185604</v>
          </cell>
          <cell r="N59">
            <v>2683.6232038380085</v>
          </cell>
          <cell r="O59">
            <v>2715.3035364079892</v>
          </cell>
          <cell r="P59">
            <v>5432.333162854281</v>
          </cell>
          <cell r="Q59">
            <v>1249.6936010497525</v>
          </cell>
          <cell r="R59">
            <v>3386.3800511793661</v>
          </cell>
          <cell r="S59">
            <v>2362.0901909202257</v>
          </cell>
          <cell r="T59">
            <v>3952.3707671375973</v>
          </cell>
          <cell r="U59">
            <v>1922.3523265670933</v>
          </cell>
          <cell r="V59">
            <v>1234.2092442269281</v>
          </cell>
          <cell r="W59">
            <v>5017.6991679210369</v>
          </cell>
          <cell r="X59">
            <v>3258.8447119916032</v>
          </cell>
          <cell r="Y59">
            <v>2152.4742131390462</v>
          </cell>
          <cell r="Z59">
            <v>3288.7047909202465</v>
          </cell>
          <cell r="AA59">
            <v>3040.6490505955553</v>
          </cell>
          <cell r="AB59">
            <v>3270.0802682031413</v>
          </cell>
          <cell r="AC59">
            <v>3038.6917737451076</v>
          </cell>
          <cell r="AD59">
            <v>3243.975808595038</v>
          </cell>
          <cell r="AE59">
            <v>1736.7342543189345</v>
          </cell>
          <cell r="AF59">
            <v>2958.6035270564021</v>
          </cell>
        </row>
        <row r="60">
          <cell r="B60" t="str">
            <v>Actual number of SCCH</v>
          </cell>
          <cell r="C60">
            <v>846</v>
          </cell>
          <cell r="D60">
            <v>1832</v>
          </cell>
          <cell r="E60">
            <v>913</v>
          </cell>
          <cell r="F60">
            <v>390</v>
          </cell>
          <cell r="G60">
            <v>1487</v>
          </cell>
          <cell r="H60">
            <v>482</v>
          </cell>
          <cell r="I60">
            <v>1234.5</v>
          </cell>
          <cell r="J60">
            <v>435</v>
          </cell>
          <cell r="K60">
            <v>897</v>
          </cell>
          <cell r="L60">
            <v>3037</v>
          </cell>
          <cell r="M60">
            <v>603</v>
          </cell>
          <cell r="N60">
            <v>2152</v>
          </cell>
          <cell r="O60">
            <v>1469</v>
          </cell>
          <cell r="P60">
            <v>6737</v>
          </cell>
          <cell r="Q60">
            <v>567</v>
          </cell>
          <cell r="R60">
            <v>1774</v>
          </cell>
          <cell r="S60">
            <v>1581</v>
          </cell>
          <cell r="T60">
            <v>879</v>
          </cell>
          <cell r="U60">
            <v>3318</v>
          </cell>
          <cell r="V60">
            <v>3121.93</v>
          </cell>
          <cell r="W60">
            <v>2451</v>
          </cell>
          <cell r="X60">
            <v>2475</v>
          </cell>
          <cell r="Y60">
            <v>652.5</v>
          </cell>
          <cell r="Z60">
            <v>870</v>
          </cell>
          <cell r="AA60">
            <v>1901</v>
          </cell>
          <cell r="AB60">
            <v>2013</v>
          </cell>
          <cell r="AC60">
            <v>1257</v>
          </cell>
          <cell r="AD60">
            <v>822</v>
          </cell>
          <cell r="AE60">
            <v>674</v>
          </cell>
          <cell r="AF60">
            <v>46870.93</v>
          </cell>
        </row>
        <row r="61">
          <cell r="B61" t="str">
            <v>Net tuition revenue by SCCH</v>
          </cell>
          <cell r="C61">
            <v>1182.7940193607517</v>
          </cell>
          <cell r="D61">
            <v>976.34113431230412</v>
          </cell>
          <cell r="E61">
            <v>1081.6830698666392</v>
          </cell>
          <cell r="F61">
            <v>969.29309304007745</v>
          </cell>
          <cell r="G61">
            <v>1162.0280337696358</v>
          </cell>
          <cell r="H61">
            <v>1596.5331112019803</v>
          </cell>
          <cell r="I61">
            <v>1328.8715062361675</v>
          </cell>
          <cell r="J61">
            <v>917.37625660308004</v>
          </cell>
          <cell r="K61">
            <v>1214.2643006992405</v>
          </cell>
          <cell r="L61">
            <v>1021.9720064658683</v>
          </cell>
          <cell r="M61">
            <v>1391.12503433952</v>
          </cell>
          <cell r="N61">
            <v>948.99500842041095</v>
          </cell>
          <cell r="O61">
            <v>1046.1959166827244</v>
          </cell>
          <cell r="P61">
            <v>1815.8845603010004</v>
          </cell>
          <cell r="Q61">
            <v>625.94882310075786</v>
          </cell>
          <cell r="R61">
            <v>1076.6168821111401</v>
          </cell>
          <cell r="S61">
            <v>1794.3518781120754</v>
          </cell>
          <cell r="T61">
            <v>1317.4569223791991</v>
          </cell>
          <cell r="U61">
            <v>1077.050324016946</v>
          </cell>
          <cell r="V61">
            <v>839.69225278529484</v>
          </cell>
          <cell r="W61">
            <v>1410.5241642993042</v>
          </cell>
          <cell r="X61">
            <v>1086.2815706638678</v>
          </cell>
          <cell r="Y61">
            <v>992.94212744038759</v>
          </cell>
          <cell r="Z61">
            <v>1096.2349303067488</v>
          </cell>
          <cell r="AA61">
            <v>1142.0428312073784</v>
          </cell>
          <cell r="AB61">
            <v>1090.0267560677139</v>
          </cell>
          <cell r="AC61">
            <v>1078.1674869453605</v>
          </cell>
          <cell r="AD61">
            <v>1187.8792194490345</v>
          </cell>
          <cell r="AE61">
            <v>886.40442653666685</v>
          </cell>
          <cell r="AF61">
            <v>1216.8096556024441</v>
          </cell>
        </row>
        <row r="62">
          <cell r="B62" t="str">
            <v>Number of faculty (FTE)</v>
          </cell>
          <cell r="C62">
            <v>3.33</v>
          </cell>
          <cell r="D62">
            <v>13.33</v>
          </cell>
          <cell r="E62">
            <v>12</v>
          </cell>
          <cell r="F62">
            <v>2.33</v>
          </cell>
          <cell r="G62">
            <v>14.31</v>
          </cell>
          <cell r="H62">
            <v>5.66</v>
          </cell>
          <cell r="I62">
            <v>9.98</v>
          </cell>
          <cell r="J62">
            <v>3.99</v>
          </cell>
          <cell r="K62">
            <v>5</v>
          </cell>
          <cell r="L62">
            <v>21.99</v>
          </cell>
          <cell r="M62">
            <v>3.33</v>
          </cell>
          <cell r="N62">
            <v>13.32</v>
          </cell>
          <cell r="O62">
            <v>12.32</v>
          </cell>
          <cell r="P62">
            <v>53.6</v>
          </cell>
          <cell r="Q62">
            <v>5.98</v>
          </cell>
          <cell r="R62">
            <v>9</v>
          </cell>
          <cell r="S62">
            <v>12.97</v>
          </cell>
          <cell r="T62">
            <v>4</v>
          </cell>
          <cell r="U62">
            <v>24.04</v>
          </cell>
          <cell r="V62">
            <v>44.75</v>
          </cell>
          <cell r="W62">
            <v>24.98</v>
          </cell>
          <cell r="X62">
            <v>12</v>
          </cell>
          <cell r="Y62">
            <v>5</v>
          </cell>
          <cell r="Z62">
            <v>5</v>
          </cell>
          <cell r="AA62">
            <v>11.99</v>
          </cell>
          <cell r="AB62">
            <v>11.99</v>
          </cell>
          <cell r="AC62">
            <v>9</v>
          </cell>
          <cell r="AD62">
            <v>7.33</v>
          </cell>
          <cell r="AE62">
            <v>8.14</v>
          </cell>
          <cell r="AF62">
            <v>370.65999999999997</v>
          </cell>
        </row>
        <row r="63">
          <cell r="B63" t="str">
            <v>Faculty Costs per SCCH</v>
          </cell>
          <cell r="C63">
            <v>650.33872114935502</v>
          </cell>
          <cell r="D63">
            <v>683.05433078602618</v>
          </cell>
          <cell r="E63">
            <v>964.17853767918632</v>
          </cell>
          <cell r="F63">
            <v>498.1586666666667</v>
          </cell>
          <cell r="G63">
            <v>724.95653127101548</v>
          </cell>
          <cell r="H63">
            <v>1144.2182219917011</v>
          </cell>
          <cell r="I63">
            <v>703.0667476711219</v>
          </cell>
          <cell r="J63">
            <v>808.01473103448257</v>
          </cell>
          <cell r="K63">
            <v>873.1260869565217</v>
          </cell>
          <cell r="L63">
            <v>426.19128086927884</v>
          </cell>
          <cell r="M63">
            <v>743.98805970149249</v>
          </cell>
          <cell r="N63">
            <v>508.84439916356871</v>
          </cell>
          <cell r="O63">
            <v>651.10796460176994</v>
          </cell>
          <cell r="P63">
            <v>1160.8274705358467</v>
          </cell>
          <cell r="Q63">
            <v>1242.703130511464</v>
          </cell>
          <cell r="R63">
            <v>429.46076719278472</v>
          </cell>
          <cell r="S63">
            <v>1069.3507273877292</v>
          </cell>
          <cell r="T63">
            <v>722.99670079635951</v>
          </cell>
          <cell r="U63">
            <v>448.26827637130805</v>
          </cell>
          <cell r="V63">
            <v>1108.8841847831311</v>
          </cell>
          <cell r="W63">
            <v>984.51883231334148</v>
          </cell>
          <cell r="X63">
            <v>416.69212525252522</v>
          </cell>
          <cell r="Y63">
            <v>639.46420229885064</v>
          </cell>
          <cell r="Z63">
            <v>632.7026781609195</v>
          </cell>
          <cell r="AA63">
            <v>461.29245134139921</v>
          </cell>
          <cell r="AB63">
            <v>420.7119672131148</v>
          </cell>
          <cell r="AC63">
            <v>521.11248766905328</v>
          </cell>
          <cell r="AD63">
            <v>589.15272506082727</v>
          </cell>
          <cell r="AE63">
            <v>832.42552818991101</v>
          </cell>
          <cell r="AF63">
            <v>740.35945006837835</v>
          </cell>
        </row>
        <row r="64">
          <cell r="B64" t="str">
            <v>Average cost per faculty</v>
          </cell>
          <cell r="C64">
            <v>165221.18861632262</v>
          </cell>
          <cell r="D64">
            <v>93875.133833458356</v>
          </cell>
          <cell r="E64">
            <v>73357.917075091435</v>
          </cell>
          <cell r="F64">
            <v>83382.781115879829</v>
          </cell>
          <cell r="G64">
            <v>75332.659818308864</v>
          </cell>
          <cell r="H64">
            <v>97440.491696113066</v>
          </cell>
          <cell r="I64">
            <v>86967.525050100201</v>
          </cell>
          <cell r="J64">
            <v>88091.831578947342</v>
          </cell>
          <cell r="K64">
            <v>156638.82</v>
          </cell>
          <cell r="L64">
            <v>58860.523874488405</v>
          </cell>
          <cell r="M64">
            <v>134722.16216216216</v>
          </cell>
          <cell r="N64">
            <v>82209.695720720716</v>
          </cell>
          <cell r="O64">
            <v>77636.168831168834</v>
          </cell>
          <cell r="P64">
            <v>145904.75128731341</v>
          </cell>
          <cell r="Q64">
            <v>117828.20652173914</v>
          </cell>
          <cell r="R64">
            <v>84651.489000000001</v>
          </cell>
          <cell r="S64">
            <v>130350.30840400925</v>
          </cell>
          <cell r="T64">
            <v>158878.52499999999</v>
          </cell>
          <cell r="U64">
            <v>61869.972587354416</v>
          </cell>
          <cell r="V64">
            <v>77359.973251396659</v>
          </cell>
          <cell r="W64">
            <v>96599.505924739788</v>
          </cell>
          <cell r="X64">
            <v>85942.750833333324</v>
          </cell>
          <cell r="Y64">
            <v>83450.078400000013</v>
          </cell>
          <cell r="Z64">
            <v>110090.26599999999</v>
          </cell>
          <cell r="AA64">
            <v>73137.360300250206</v>
          </cell>
          <cell r="AB64">
            <v>70633.293577981662</v>
          </cell>
          <cell r="AC64">
            <v>72782.044111111114</v>
          </cell>
          <cell r="AD64">
            <v>66068.695770804901</v>
          </cell>
          <cell r="AE64">
            <v>68925.651842751831</v>
          </cell>
          <cell r="AF64">
            <v>93620.395939657537</v>
          </cell>
        </row>
        <row r="65">
          <cell r="B65" t="str">
            <v>Number of academic staff</v>
          </cell>
          <cell r="C65">
            <v>2.4</v>
          </cell>
          <cell r="D65">
            <v>3.5333333333333332</v>
          </cell>
          <cell r="E65">
            <v>2.5333333333333332</v>
          </cell>
          <cell r="F65">
            <v>0.53333333333333333</v>
          </cell>
          <cell r="G65">
            <v>6.5333333333333332</v>
          </cell>
          <cell r="H65">
            <v>2.3333333333333335</v>
          </cell>
          <cell r="I65">
            <v>1.5333333333333332</v>
          </cell>
          <cell r="J65">
            <v>2.8</v>
          </cell>
          <cell r="K65">
            <v>0.53333333333333333</v>
          </cell>
          <cell r="L65">
            <v>1.5333333333333332</v>
          </cell>
          <cell r="M65">
            <v>2.4</v>
          </cell>
        </row>
        <row r="66">
          <cell r="B66" t="str">
            <v>Student : Faculty Ratio</v>
          </cell>
          <cell r="C66">
            <v>15.9</v>
          </cell>
          <cell r="D66">
            <v>8.6999999999999993</v>
          </cell>
          <cell r="E66">
            <v>7</v>
          </cell>
          <cell r="F66">
            <v>10.8</v>
          </cell>
          <cell r="G66">
            <v>7.6</v>
          </cell>
          <cell r="H66">
            <v>8.5</v>
          </cell>
          <cell r="I66">
            <v>9.6</v>
          </cell>
          <cell r="J66">
            <v>6.8</v>
          </cell>
          <cell r="K66">
            <v>11.2</v>
          </cell>
          <cell r="L66">
            <v>8.5</v>
          </cell>
          <cell r="M66">
            <v>11.3</v>
          </cell>
          <cell r="N66">
            <v>10.199999999999999</v>
          </cell>
          <cell r="O66">
            <v>8.1</v>
          </cell>
          <cell r="P66">
            <v>10.6</v>
          </cell>
          <cell r="Q66">
            <v>16</v>
          </cell>
          <cell r="R66">
            <v>13</v>
          </cell>
          <cell r="S66">
            <v>9.6</v>
          </cell>
          <cell r="T66">
            <v>13.7</v>
          </cell>
          <cell r="U66">
            <v>9.1999999999999993</v>
          </cell>
          <cell r="V66">
            <v>4.8</v>
          </cell>
          <cell r="W66">
            <v>13.3</v>
          </cell>
          <cell r="X66">
            <v>14.1</v>
          </cell>
          <cell r="Y66">
            <v>8.1999999999999993</v>
          </cell>
          <cell r="Z66">
            <v>11.1</v>
          </cell>
          <cell r="AA66">
            <v>12.3</v>
          </cell>
          <cell r="AB66">
            <v>12.6</v>
          </cell>
          <cell r="AC66">
            <v>9.9</v>
          </cell>
          <cell r="AD66">
            <v>7.7</v>
          </cell>
          <cell r="AE66">
            <v>8.6999999999999993</v>
          </cell>
          <cell r="AF66">
            <v>10.310344827586205</v>
          </cell>
        </row>
        <row r="67">
          <cell r="B67" t="str">
            <v>Student : Academic Staff Ratio</v>
          </cell>
          <cell r="C67">
            <v>117.5</v>
          </cell>
          <cell r="D67">
            <v>254.15094339622641</v>
          </cell>
          <cell r="E67">
            <v>179.21052631578948</v>
          </cell>
          <cell r="F67">
            <v>243.75</v>
          </cell>
          <cell r="G67">
            <v>93.673469387755105</v>
          </cell>
          <cell r="H67">
            <v>78.857142857142847</v>
          </cell>
          <cell r="I67">
            <v>328.04347826086956</v>
          </cell>
          <cell r="J67">
            <v>70</v>
          </cell>
          <cell r="K67">
            <v>560.625</v>
          </cell>
          <cell r="L67">
            <v>673.69565217391312</v>
          </cell>
          <cell r="M67">
            <v>83.75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</row>
        <row r="68">
          <cell r="B68" t="str">
            <v>Program administrative overhead per student</v>
          </cell>
          <cell r="C68">
            <v>2068.3636350524253</v>
          </cell>
          <cell r="D68">
            <v>1448.2870979955458</v>
          </cell>
          <cell r="E68">
            <v>2018.2083905391694</v>
          </cell>
          <cell r="F68">
            <v>1548.1901538461539</v>
          </cell>
          <cell r="G68">
            <v>1889.4376666666667</v>
          </cell>
          <cell r="H68">
            <v>3239.3000706521739</v>
          </cell>
          <cell r="I68">
            <v>1808.1643538767396</v>
          </cell>
          <cell r="J68">
            <v>1834.9048367346936</v>
          </cell>
          <cell r="K68">
            <v>2729.1809364548494</v>
          </cell>
          <cell r="L68">
            <v>1285.0410842207164</v>
          </cell>
          <cell r="M68">
            <v>2361.8547263681589</v>
          </cell>
          <cell r="N68">
            <v>1471.5945558475689</v>
          </cell>
          <cell r="O68">
            <v>1726.4770671378092</v>
          </cell>
          <cell r="P68">
            <v>3916.8077748667847</v>
          </cell>
          <cell r="Q68">
            <v>2966.7289964788733</v>
          </cell>
          <cell r="R68">
            <v>1389.4103918439719</v>
          </cell>
          <cell r="S68">
            <v>1475.7814321398835</v>
          </cell>
          <cell r="T68">
            <v>2286.9047781569966</v>
          </cell>
          <cell r="U68">
            <v>824.18296987627764</v>
          </cell>
          <cell r="V68">
            <v>1750.7541445386066</v>
          </cell>
          <cell r="W68">
            <v>3777.2329579100142</v>
          </cell>
          <cell r="X68">
            <v>1276.692012121212</v>
          </cell>
          <cell r="Y68">
            <v>1441.0003388704322</v>
          </cell>
          <cell r="Z68">
            <v>1967.6974137931034</v>
          </cell>
          <cell r="AA68">
            <v>1272.4911344537813</v>
          </cell>
          <cell r="AB68">
            <v>1291.5229359165426</v>
          </cell>
          <cell r="AC68">
            <v>1510.071159192825</v>
          </cell>
          <cell r="AD68">
            <v>1660.9848837209302</v>
          </cell>
          <cell r="AE68">
            <v>1702.1996395348835</v>
          </cell>
          <cell r="AF68">
            <v>1923.149812231653</v>
          </cell>
        </row>
        <row r="69">
          <cell r="B69" t="str">
            <v>Indirect cost/university overhead per student</v>
          </cell>
          <cell r="C69">
            <v>1161.2165934703651</v>
          </cell>
          <cell r="D69">
            <v>982.13899744570881</v>
          </cell>
          <cell r="E69">
            <v>988.52972653543577</v>
          </cell>
          <cell r="F69">
            <v>983.83709594104573</v>
          </cell>
          <cell r="G69">
            <v>986.84796045495068</v>
          </cell>
          <cell r="H69">
            <v>945.69457393607718</v>
          </cell>
          <cell r="I69">
            <v>984.89483122313038</v>
          </cell>
          <cell r="J69">
            <v>1016.7052062599741</v>
          </cell>
          <cell r="K69">
            <v>1163.9266742984501</v>
          </cell>
          <cell r="L69">
            <v>985.69262741664556</v>
          </cell>
          <cell r="M69">
            <v>1163.8410552181283</v>
          </cell>
          <cell r="N69">
            <v>983.60557510472381</v>
          </cell>
          <cell r="O69">
            <v>985.95695259661477</v>
          </cell>
          <cell r="P69">
            <v>1316.1409316833183</v>
          </cell>
          <cell r="Q69">
            <v>940.34239362277265</v>
          </cell>
          <cell r="R69">
            <v>982.75302436456025</v>
          </cell>
          <cell r="S69">
            <v>1160.6600188523435</v>
          </cell>
          <cell r="T69">
            <v>1162.2332350079857</v>
          </cell>
          <cell r="U69">
            <v>1012.6099651696143</v>
          </cell>
          <cell r="V69">
            <v>1017.0976607261989</v>
          </cell>
          <cell r="W69">
            <v>948.72490527067475</v>
          </cell>
          <cell r="X69">
            <v>981.97429154639019</v>
          </cell>
          <cell r="Y69">
            <v>983.11363085547555</v>
          </cell>
          <cell r="Z69">
            <v>983.46113049350595</v>
          </cell>
          <cell r="AA69">
            <v>983.21368721292856</v>
          </cell>
          <cell r="AB69">
            <v>983.80719041619511</v>
          </cell>
          <cell r="AC69">
            <v>985.08147328184248</v>
          </cell>
          <cell r="AD69">
            <v>1018.9085119194666</v>
          </cell>
          <cell r="AE69">
            <v>1018.5283157245856</v>
          </cell>
          <cell r="AF69">
            <v>1049.5148622711004</v>
          </cell>
        </row>
        <row r="70">
          <cell r="B70" t="str">
            <v>Average course cap</v>
          </cell>
          <cell r="C70" t="str">
            <v xml:space="preserve"> </v>
          </cell>
        </row>
        <row r="71">
          <cell r="B71" t="str">
            <v>Number of student enrolled/(numbers of courses * average course cap)</v>
          </cell>
          <cell r="C71">
            <v>0.81739130434782614</v>
          </cell>
          <cell r="D71">
            <v>0.85768863419293218</v>
          </cell>
          <cell r="E71">
            <v>0.6941896024464832</v>
          </cell>
          <cell r="F71">
            <v>0.42483660130718953</v>
          </cell>
          <cell r="G71">
            <v>0.65594855305466238</v>
          </cell>
          <cell r="H71">
            <v>0.67647058823529416</v>
          </cell>
          <cell r="I71">
            <v>0.65767045454545459</v>
          </cell>
          <cell r="J71">
            <v>0.57647058823529407</v>
          </cell>
          <cell r="K71">
            <v>0.8305555555555556</v>
          </cell>
          <cell r="L71">
            <v>0.93399638336347202</v>
          </cell>
          <cell r="M71">
            <v>0.63809523809523805</v>
          </cell>
          <cell r="N71">
            <v>0.81303418803418803</v>
          </cell>
          <cell r="O71">
            <v>0.7231222385861561</v>
          </cell>
          <cell r="P71">
            <v>0.69742954475069685</v>
          </cell>
          <cell r="Q71">
            <v>0.23133414932680538</v>
          </cell>
          <cell r="R71">
            <v>0.70765370138017569</v>
          </cell>
          <cell r="S71">
            <v>0.65018181818181819</v>
          </cell>
          <cell r="T71">
            <v>0.78133333333333332</v>
          </cell>
          <cell r="U71">
            <v>0.6740391588107324</v>
          </cell>
          <cell r="V71">
            <v>0.52109375000000002</v>
          </cell>
          <cell r="W71">
            <v>0.7689732142857143</v>
          </cell>
          <cell r="X71">
            <v>0.88519313304721026</v>
          </cell>
          <cell r="Y71">
            <v>0.76982097186700771</v>
          </cell>
          <cell r="Z71">
            <v>0.68396226415094341</v>
          </cell>
          <cell r="AA71">
            <v>0.82830626450116007</v>
          </cell>
          <cell r="AB71">
            <v>0.88405797101449279</v>
          </cell>
          <cell r="AC71">
            <v>0.84469696969696972</v>
          </cell>
          <cell r="AD71">
            <v>0.74875621890547261</v>
          </cell>
          <cell r="AE71">
            <v>0.68662674650698607</v>
          </cell>
          <cell r="AF71">
            <v>0.7125147979227332</v>
          </cell>
        </row>
        <row r="72">
          <cell r="B72" t="str">
            <v>Students majors enrolled</v>
          </cell>
          <cell r="C72">
            <v>0.25886524822695034</v>
          </cell>
          <cell r="D72">
            <v>0.29579579579579579</v>
          </cell>
          <cell r="E72">
            <v>0.27293577981651373</v>
          </cell>
          <cell r="F72">
            <v>7.0000000000000007E-2</v>
          </cell>
          <cell r="G72">
            <v>0.73</v>
          </cell>
          <cell r="H72">
            <v>0.94736842105263153</v>
          </cell>
          <cell r="I72">
            <v>0.49</v>
          </cell>
          <cell r="J72">
            <v>0.74489795918367352</v>
          </cell>
          <cell r="K72">
            <v>0.21981424148606812</v>
          </cell>
          <cell r="L72">
            <v>0.29235237173281703</v>
          </cell>
          <cell r="M72">
            <v>0.21468926553672316</v>
          </cell>
          <cell r="N72">
            <v>0.14718019257221457</v>
          </cell>
          <cell r="O72">
            <v>6.4272211720226846E-2</v>
          </cell>
          <cell r="P72">
            <v>1</v>
          </cell>
          <cell r="Q72">
            <v>0.96907216494845361</v>
          </cell>
          <cell r="R72">
            <v>9.9290780141843976E-2</v>
          </cell>
          <cell r="S72">
            <v>0.24889380530973451</v>
          </cell>
          <cell r="T72">
            <v>0.21843003412969283</v>
          </cell>
          <cell r="U72">
            <v>0.83322517845554833</v>
          </cell>
          <cell r="V72">
            <v>0.55607720396452787</v>
          </cell>
          <cell r="W72">
            <v>1</v>
          </cell>
          <cell r="X72">
            <v>0.68627450980392157</v>
          </cell>
          <cell r="Y72">
            <v>0.24894514767932491</v>
          </cell>
          <cell r="Z72">
            <v>0.48965517241379308</v>
          </cell>
          <cell r="AA72">
            <v>0.68627450980392157</v>
          </cell>
          <cell r="AB72">
            <v>1.3888888888888888E-2</v>
          </cell>
          <cell r="AC72">
            <v>0.2219679633867277</v>
          </cell>
          <cell r="AD72">
            <v>0.34883720930232559</v>
          </cell>
          <cell r="AE72">
            <v>0.81055900621118016</v>
          </cell>
        </row>
        <row r="74">
          <cell r="B74" t="str">
            <v>Revenues genereated by the majors</v>
          </cell>
        </row>
        <row r="75">
          <cell r="B75" t="str">
            <v>Gross revenue</v>
          </cell>
          <cell r="C75">
            <v>1938989.0000000009</v>
          </cell>
          <cell r="D75">
            <v>5834745.9999999749</v>
          </cell>
          <cell r="E75">
            <v>2046209.9999999963</v>
          </cell>
          <cell r="F75">
            <v>141188.99999999997</v>
          </cell>
          <cell r="G75">
            <v>7055956.0000000382</v>
          </cell>
          <cell r="H75">
            <v>829586.00000000047</v>
          </cell>
          <cell r="I75">
            <v>2802769.4999999776</v>
          </cell>
          <cell r="J75">
            <v>1729939.9999999956</v>
          </cell>
          <cell r="K75">
            <v>1511368.999999996</v>
          </cell>
          <cell r="L75">
            <v>5816147.5000000568</v>
          </cell>
          <cell r="M75">
            <v>2153799.9999999925</v>
          </cell>
          <cell r="N75">
            <v>1885007.9999999986</v>
          </cell>
          <cell r="O75">
            <v>583715.50000000047</v>
          </cell>
          <cell r="P75">
            <v>19004611.085518379</v>
          </cell>
          <cell r="Q75">
            <v>458088.5</v>
          </cell>
          <cell r="R75">
            <v>908543.50000000081</v>
          </cell>
          <cell r="S75">
            <v>5120083.0000000065</v>
          </cell>
          <cell r="T75">
            <v>2691423.4090908831</v>
          </cell>
          <cell r="U75">
            <v>11340259.000000156</v>
          </cell>
          <cell r="V75">
            <v>8023236.4999999562</v>
          </cell>
          <cell r="W75">
            <v>3487287.9000000008</v>
          </cell>
          <cell r="X75">
            <v>989855.50000000081</v>
          </cell>
          <cell r="Y75">
            <v>1195077.5000000005</v>
          </cell>
          <cell r="Z75">
            <v>2736225.4999999725</v>
          </cell>
          <cell r="AA75">
            <v>7656176.0000001155</v>
          </cell>
          <cell r="AB75">
            <v>196965.99999999985</v>
          </cell>
          <cell r="AC75">
            <v>1754931.4999999967</v>
          </cell>
          <cell r="AD75">
            <v>1475687.0000000005</v>
          </cell>
          <cell r="AE75">
            <v>2079645.9999999935</v>
          </cell>
          <cell r="AF75">
            <v>103447523.3946095</v>
          </cell>
        </row>
        <row r="76">
          <cell r="B76" t="str">
            <v>Financial aid</v>
          </cell>
          <cell r="C76">
            <v>1219518.8199999991</v>
          </cell>
          <cell r="D76">
            <v>3767250.9099999955</v>
          </cell>
          <cell r="E76">
            <v>1301795.9899999956</v>
          </cell>
          <cell r="F76">
            <v>86530.939999999973</v>
          </cell>
          <cell r="G76">
            <v>3915403.780000044</v>
          </cell>
          <cell r="H76">
            <v>108567.68999999983</v>
          </cell>
          <cell r="I76">
            <v>2641595.4999999776</v>
          </cell>
          <cell r="J76">
            <v>1125107.7499999958</v>
          </cell>
          <cell r="K76">
            <v>864548.37999999581</v>
          </cell>
          <cell r="L76">
            <v>3442319.1300000739</v>
          </cell>
          <cell r="M76">
            <v>1167327.6499999885</v>
          </cell>
          <cell r="N76">
            <v>1043827.6499999968</v>
          </cell>
          <cell r="O76">
            <v>390911.80000000016</v>
          </cell>
          <cell r="P76">
            <v>7435416.7055183649</v>
          </cell>
          <cell r="Q76">
            <v>94523.070000000065</v>
          </cell>
          <cell r="R76">
            <v>615959.84000000078</v>
          </cell>
          <cell r="S76">
            <v>3743904.5000000019</v>
          </cell>
          <cell r="T76">
            <v>1285784.659090888</v>
          </cell>
          <cell r="U76">
            <v>6063783.0300001679</v>
          </cell>
          <cell r="V76">
            <v>7357911.9999999562</v>
          </cell>
          <cell r="W76">
            <v>60610.720000009052</v>
          </cell>
          <cell r="X76">
            <v>574537.55999999959</v>
          </cell>
          <cell r="Y76">
            <v>848920.8</v>
          </cell>
          <cell r="Z76">
            <v>1511051.8399999747</v>
          </cell>
          <cell r="AA76">
            <v>4275805.0100001246</v>
          </cell>
          <cell r="AB76">
            <v>102691.77999999978</v>
          </cell>
          <cell r="AC76">
            <v>1047144.9099999957</v>
          </cell>
          <cell r="AD76">
            <v>893444.89999999886</v>
          </cell>
          <cell r="AE76">
            <v>1345355.0199999919</v>
          </cell>
          <cell r="AF76">
            <v>58331552.334609531</v>
          </cell>
        </row>
        <row r="77">
          <cell r="B77" t="str">
            <v>Net Revenue</v>
          </cell>
          <cell r="C77">
            <v>719470.1800000018</v>
          </cell>
          <cell r="D77">
            <v>2067495.0899999794</v>
          </cell>
          <cell r="E77">
            <v>744414.01000000082</v>
          </cell>
          <cell r="F77">
            <v>54658.060000000005</v>
          </cell>
          <cell r="G77">
            <v>3140552.2199999942</v>
          </cell>
          <cell r="H77">
            <v>721018.31000000064</v>
          </cell>
          <cell r="I77">
            <v>161173.99999999997</v>
          </cell>
          <cell r="J77">
            <v>604832.24999999988</v>
          </cell>
          <cell r="K77">
            <v>646820.62000000023</v>
          </cell>
          <cell r="L77">
            <v>2373828.3699999829</v>
          </cell>
          <cell r="M77">
            <v>986472.35000000405</v>
          </cell>
          <cell r="N77">
            <v>841180.35000000184</v>
          </cell>
          <cell r="O77">
            <v>192803.7000000003</v>
          </cell>
          <cell r="P77">
            <v>11569194.380000014</v>
          </cell>
          <cell r="Q77">
            <v>363565.42999999993</v>
          </cell>
          <cell r="R77">
            <v>292583.65999999997</v>
          </cell>
          <cell r="S77">
            <v>1376178.5000000047</v>
          </cell>
          <cell r="T77">
            <v>1405638.7499999951</v>
          </cell>
          <cell r="U77">
            <v>5276475.9699999886</v>
          </cell>
          <cell r="V77">
            <v>665324.5</v>
          </cell>
          <cell r="W77">
            <v>3426677.1799999918</v>
          </cell>
          <cell r="X77">
            <v>415317.94000000122</v>
          </cell>
          <cell r="Y77">
            <v>346156.70000000042</v>
          </cell>
          <cell r="Z77">
            <v>1225173.6599999978</v>
          </cell>
          <cell r="AA77">
            <v>3380370.9899999904</v>
          </cell>
          <cell r="AB77">
            <v>94274.220000000074</v>
          </cell>
          <cell r="AC77">
            <v>707786.59000000102</v>
          </cell>
          <cell r="AD77">
            <v>582242.10000000161</v>
          </cell>
          <cell r="AE77">
            <v>734290.98000000161</v>
          </cell>
          <cell r="AF77">
            <v>45115971.05999995</v>
          </cell>
        </row>
        <row r="78">
          <cell r="B78" t="str">
            <v>2016 majors based on IPEDS</v>
          </cell>
          <cell r="C78">
            <v>57</v>
          </cell>
          <cell r="D78">
            <v>187</v>
          </cell>
          <cell r="E78">
            <v>63</v>
          </cell>
          <cell r="F78">
            <v>6</v>
          </cell>
          <cell r="G78">
            <v>243</v>
          </cell>
          <cell r="H78">
            <v>77</v>
          </cell>
          <cell r="I78">
            <v>162</v>
          </cell>
          <cell r="J78">
            <v>57</v>
          </cell>
          <cell r="K78">
            <v>76</v>
          </cell>
          <cell r="L78">
            <v>167</v>
          </cell>
          <cell r="M78">
            <v>81</v>
          </cell>
          <cell r="N78">
            <v>82</v>
          </cell>
          <cell r="O78">
            <v>27</v>
          </cell>
          <cell r="P78">
            <v>568</v>
          </cell>
          <cell r="Q78">
            <v>220</v>
          </cell>
          <cell r="R78">
            <v>16</v>
          </cell>
          <cell r="S78">
            <v>306</v>
          </cell>
          <cell r="T78">
            <v>106</v>
          </cell>
          <cell r="U78">
            <v>363</v>
          </cell>
          <cell r="V78">
            <v>133</v>
          </cell>
          <cell r="W78">
            <v>573</v>
          </cell>
          <cell r="X78">
            <v>33</v>
          </cell>
          <cell r="Y78">
            <v>34</v>
          </cell>
          <cell r="Z78">
            <v>108</v>
          </cell>
          <cell r="AA78">
            <v>291</v>
          </cell>
          <cell r="AB78">
            <v>3</v>
          </cell>
          <cell r="AC78">
            <v>60</v>
          </cell>
          <cell r="AD78">
            <v>37</v>
          </cell>
          <cell r="AE78">
            <v>54</v>
          </cell>
          <cell r="AF78">
            <v>4190</v>
          </cell>
        </row>
        <row r="79">
          <cell r="B79" t="str">
            <v>Net Revenue per student major</v>
          </cell>
          <cell r="C79">
            <v>12622.283859649155</v>
          </cell>
          <cell r="D79">
            <v>11056.123475935719</v>
          </cell>
          <cell r="E79">
            <v>11816.095396825411</v>
          </cell>
          <cell r="F79">
            <v>9109.6766666666681</v>
          </cell>
          <cell r="G79">
            <v>12924.083209876519</v>
          </cell>
          <cell r="H79">
            <v>9363.8741558441634</v>
          </cell>
          <cell r="I79">
            <v>994.90123456790104</v>
          </cell>
          <cell r="J79">
            <v>10611.092105263157</v>
          </cell>
          <cell r="K79">
            <v>8510.797631578951</v>
          </cell>
          <cell r="L79">
            <v>14214.541137724449</v>
          </cell>
          <cell r="M79">
            <v>12178.670987654372</v>
          </cell>
          <cell r="N79">
            <v>10258.296951219534</v>
          </cell>
          <cell r="O79">
            <v>7140.8777777777887</v>
          </cell>
          <cell r="P79">
            <v>20368.299964788755</v>
          </cell>
          <cell r="Q79">
            <v>1652.570136363636</v>
          </cell>
          <cell r="R79">
            <v>1329.925727272727</v>
          </cell>
          <cell r="S79">
            <v>4497.3153594771393</v>
          </cell>
          <cell r="T79">
            <v>13260.742924528256</v>
          </cell>
          <cell r="U79">
            <v>14535.746473829169</v>
          </cell>
          <cell r="V79">
            <v>5002.4398496240601</v>
          </cell>
          <cell r="W79">
            <v>5980.2394066317484</v>
          </cell>
          <cell r="X79">
            <v>12585.392121212159</v>
          </cell>
          <cell r="Y79">
            <v>10181.079411764718</v>
          </cell>
          <cell r="Z79">
            <v>11344.200555555535</v>
          </cell>
          <cell r="AA79">
            <v>11616.395154639142</v>
          </cell>
          <cell r="AB79">
            <v>31424.740000000023</v>
          </cell>
          <cell r="AC79">
            <v>11796.443166666684</v>
          </cell>
          <cell r="AD79">
            <v>15736.272972973016</v>
          </cell>
          <cell r="AE79">
            <v>13597.981111111141</v>
          </cell>
          <cell r="AF79">
            <v>10767.534859188532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G1" t="str">
            <v>Per</v>
          </cell>
        </row>
        <row r="5">
          <cell r="A5" t="str">
            <v>Account</v>
          </cell>
          <cell r="B5" t="str">
            <v>Funct</v>
          </cell>
          <cell r="C5" t="str">
            <v>Func Class</v>
          </cell>
          <cell r="D5" t="str">
            <v>Department Name</v>
          </cell>
          <cell r="E5" t="str">
            <v>Total  Expenses</v>
          </cell>
          <cell r="F5" t="str">
            <v>Jesuit Salary</v>
          </cell>
          <cell r="G5" t="str">
            <v>Total Salary</v>
          </cell>
          <cell r="H5" t="str">
            <v>Adjusted Total Slry</v>
          </cell>
          <cell r="I5" t="str">
            <v>% of Total</v>
          </cell>
          <cell r="J5" t="str">
            <v>Excess Allocate</v>
          </cell>
          <cell r="K5" t="str">
            <v>IT Report</v>
          </cell>
          <cell r="L5" t="str">
            <v>Moving</v>
          </cell>
          <cell r="M5" t="str">
            <v>Jesuits</v>
          </cell>
          <cell r="N5" t="str">
            <v>School</v>
          </cell>
          <cell r="O5" t="str">
            <v>Fringe Total</v>
          </cell>
          <cell r="P5" t="str">
            <v>Physical Plant</v>
          </cell>
          <cell r="Q5" t="str">
            <v>Rounding</v>
          </cell>
          <cell r="R5" t="str">
            <v>Total</v>
          </cell>
          <cell r="T5" t="str">
            <v>Asset Credits</v>
          </cell>
          <cell r="U5" t="str">
            <v>TOTAL</v>
          </cell>
          <cell r="V5" t="str">
            <v>ALLOCATION</v>
          </cell>
        </row>
        <row r="7">
          <cell r="A7">
            <v>211205</v>
          </cell>
          <cell r="B7">
            <v>1</v>
          </cell>
          <cell r="C7" t="str">
            <v>IN</v>
          </cell>
          <cell r="D7" t="str">
            <v xml:space="preserve">Honors </v>
          </cell>
          <cell r="E7">
            <v>222438</v>
          </cell>
          <cell r="F7">
            <v>0</v>
          </cell>
          <cell r="G7">
            <v>193484</v>
          </cell>
          <cell r="H7">
            <v>193484</v>
          </cell>
          <cell r="I7">
            <v>4.4628871367295812E-3</v>
          </cell>
          <cell r="J7">
            <v>64570.878717892272</v>
          </cell>
          <cell r="O7">
            <v>64570.878717892272</v>
          </cell>
          <cell r="Q7">
            <v>2214</v>
          </cell>
          <cell r="R7">
            <v>289222.87871789228</v>
          </cell>
          <cell r="U7">
            <v>289222.87871789228</v>
          </cell>
          <cell r="V7" t="str">
            <v>Undergrad</v>
          </cell>
        </row>
        <row r="8">
          <cell r="A8">
            <v>211206</v>
          </cell>
          <cell r="B8">
            <v>1</v>
          </cell>
          <cell r="C8" t="str">
            <v>IN</v>
          </cell>
          <cell r="D8" t="str">
            <v>National Fellow</v>
          </cell>
          <cell r="E8">
            <v>2824</v>
          </cell>
          <cell r="F8">
            <v>0</v>
          </cell>
          <cell r="G8">
            <v>1560</v>
          </cell>
          <cell r="H8">
            <v>1560</v>
          </cell>
          <cell r="I8">
            <v>3.5982840613684579E-5</v>
          </cell>
          <cell r="J8">
            <v>520.61447354774532</v>
          </cell>
          <cell r="O8">
            <v>520.61447354774532</v>
          </cell>
          <cell r="Q8">
            <v>0</v>
          </cell>
          <cell r="R8">
            <v>3344.6144735477455</v>
          </cell>
          <cell r="U8">
            <v>3344.6144735477455</v>
          </cell>
          <cell r="V8" t="str">
            <v>Excluded</v>
          </cell>
        </row>
        <row r="9">
          <cell r="A9">
            <v>211210</v>
          </cell>
          <cell r="B9">
            <v>1</v>
          </cell>
          <cell r="C9" t="str">
            <v>IN</v>
          </cell>
          <cell r="D9" t="str">
            <v>African &amp; A.A. Studies</v>
          </cell>
          <cell r="E9">
            <v>500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O9">
            <v>0</v>
          </cell>
          <cell r="Q9">
            <v>0</v>
          </cell>
          <cell r="R9">
            <v>500</v>
          </cell>
          <cell r="U9">
            <v>500</v>
          </cell>
          <cell r="V9" t="str">
            <v>Excluded</v>
          </cell>
        </row>
        <row r="10">
          <cell r="A10">
            <v>211211</v>
          </cell>
          <cell r="B10">
            <v>1</v>
          </cell>
          <cell r="C10" t="str">
            <v>IN</v>
          </cell>
          <cell r="D10" t="str">
            <v>American Studies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O10">
            <v>0</v>
          </cell>
          <cell r="Q10">
            <v>0</v>
          </cell>
          <cell r="R10">
            <v>0</v>
          </cell>
          <cell r="U10">
            <v>0</v>
          </cell>
          <cell r="V10" t="str">
            <v>Excluded</v>
          </cell>
        </row>
        <row r="11">
          <cell r="A11">
            <v>211212</v>
          </cell>
          <cell r="B11">
            <v>1</v>
          </cell>
          <cell r="C11" t="str">
            <v>IN</v>
          </cell>
          <cell r="D11" t="str">
            <v>Film Studies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O11">
            <v>0</v>
          </cell>
          <cell r="Q11">
            <v>2581</v>
          </cell>
          <cell r="R11">
            <v>2581</v>
          </cell>
          <cell r="U11">
            <v>2581</v>
          </cell>
          <cell r="V11" t="str">
            <v>Excluded</v>
          </cell>
        </row>
        <row r="12">
          <cell r="A12">
            <v>211213</v>
          </cell>
          <cell r="B12">
            <v>1</v>
          </cell>
          <cell r="C12" t="str">
            <v>IN</v>
          </cell>
          <cell r="D12" t="str">
            <v>Legal Studies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O12">
            <v>0</v>
          </cell>
          <cell r="Q12">
            <v>0</v>
          </cell>
          <cell r="R12">
            <v>0</v>
          </cell>
          <cell r="U12">
            <v>0</v>
          </cell>
          <cell r="V12" t="str">
            <v>Excluded</v>
          </cell>
        </row>
        <row r="13">
          <cell r="A13">
            <v>211214</v>
          </cell>
          <cell r="B13">
            <v>1</v>
          </cell>
          <cell r="C13" t="str">
            <v>IN</v>
          </cell>
          <cell r="D13" t="str">
            <v>Mid East Peace Studies</v>
          </cell>
          <cell r="E13">
            <v>1329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O13">
            <v>0</v>
          </cell>
          <cell r="Q13">
            <v>0</v>
          </cell>
          <cell r="R13">
            <v>1329</v>
          </cell>
          <cell r="U13">
            <v>1329</v>
          </cell>
          <cell r="V13" t="str">
            <v>Excluded</v>
          </cell>
        </row>
        <row r="14">
          <cell r="A14">
            <v>211215</v>
          </cell>
          <cell r="B14">
            <v>1</v>
          </cell>
          <cell r="C14" t="str">
            <v>IN</v>
          </cell>
          <cell r="D14" t="str">
            <v>Asian Studies</v>
          </cell>
          <cell r="E14">
            <v>-21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O14">
            <v>0</v>
          </cell>
          <cell r="Q14">
            <v>0</v>
          </cell>
          <cell r="R14">
            <v>-21</v>
          </cell>
          <cell r="U14">
            <v>-21</v>
          </cell>
          <cell r="V14" t="str">
            <v>Excluded</v>
          </cell>
        </row>
        <row r="15">
          <cell r="A15">
            <v>211216</v>
          </cell>
          <cell r="B15">
            <v>1</v>
          </cell>
          <cell r="C15" t="str">
            <v>IN</v>
          </cell>
          <cell r="D15" t="str">
            <v>Catholic Studies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O15">
            <v>0</v>
          </cell>
          <cell r="Q15">
            <v>0</v>
          </cell>
          <cell r="R15">
            <v>0</v>
          </cell>
          <cell r="U15">
            <v>0</v>
          </cell>
          <cell r="V15" t="str">
            <v>Excluded</v>
          </cell>
        </row>
        <row r="16">
          <cell r="A16">
            <v>211217</v>
          </cell>
          <cell r="B16">
            <v>1</v>
          </cell>
          <cell r="C16" t="str">
            <v>IN</v>
          </cell>
          <cell r="D16" t="str">
            <v>Computational Studies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O16">
            <v>0</v>
          </cell>
          <cell r="Q16">
            <v>0</v>
          </cell>
          <cell r="R16">
            <v>0</v>
          </cell>
          <cell r="U16">
            <v>0</v>
          </cell>
          <cell r="V16" t="str">
            <v>Excluded</v>
          </cell>
        </row>
        <row r="17">
          <cell r="A17">
            <v>211218</v>
          </cell>
          <cell r="B17">
            <v>1</v>
          </cell>
          <cell r="C17" t="str">
            <v>IN</v>
          </cell>
          <cell r="D17" t="str">
            <v>New Orleans Studies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O17">
            <v>0</v>
          </cell>
          <cell r="Q17">
            <v>0</v>
          </cell>
          <cell r="R17">
            <v>0</v>
          </cell>
          <cell r="U17">
            <v>0</v>
          </cell>
          <cell r="V17" t="str">
            <v>Excluded</v>
          </cell>
        </row>
        <row r="18">
          <cell r="A18">
            <v>211219</v>
          </cell>
          <cell r="B18">
            <v>1</v>
          </cell>
          <cell r="C18" t="str">
            <v>IN</v>
          </cell>
          <cell r="D18" t="str">
            <v>Women's Studies</v>
          </cell>
          <cell r="E18">
            <v>928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O18">
            <v>0</v>
          </cell>
          <cell r="Q18">
            <v>0</v>
          </cell>
          <cell r="R18">
            <v>928</v>
          </cell>
          <cell r="U18">
            <v>928</v>
          </cell>
          <cell r="V18" t="str">
            <v>Excluded</v>
          </cell>
        </row>
        <row r="19">
          <cell r="A19">
            <v>211220</v>
          </cell>
          <cell r="B19">
            <v>1</v>
          </cell>
          <cell r="C19" t="str">
            <v>IN</v>
          </cell>
          <cell r="D19" t="str">
            <v>Latin American Studies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O19">
            <v>0</v>
          </cell>
          <cell r="Q19">
            <v>0</v>
          </cell>
          <cell r="R19">
            <v>0</v>
          </cell>
          <cell r="U19">
            <v>0</v>
          </cell>
          <cell r="V19" t="str">
            <v>Excluded</v>
          </cell>
        </row>
        <row r="20">
          <cell r="A20">
            <v>211225</v>
          </cell>
          <cell r="B20">
            <v>1</v>
          </cell>
          <cell r="C20" t="str">
            <v>IN</v>
          </cell>
          <cell r="D20" t="str">
            <v>Latin Caribbean</v>
          </cell>
          <cell r="E20">
            <v>5398</v>
          </cell>
          <cell r="F20">
            <v>0</v>
          </cell>
          <cell r="G20">
            <v>3500</v>
          </cell>
          <cell r="H20">
            <v>3500</v>
          </cell>
          <cell r="I20">
            <v>8.07307321460872E-5</v>
          </cell>
          <cell r="J20">
            <v>1168.0452932160952</v>
          </cell>
          <cell r="O20">
            <v>1168.0452932160952</v>
          </cell>
          <cell r="Q20">
            <v>0</v>
          </cell>
          <cell r="R20">
            <v>6566.0452932160952</v>
          </cell>
          <cell r="U20">
            <v>6566.0452932160952</v>
          </cell>
          <cell r="V20" t="str">
            <v>Excluded</v>
          </cell>
        </row>
        <row r="21">
          <cell r="A21">
            <v>211230</v>
          </cell>
          <cell r="B21">
            <v>1</v>
          </cell>
          <cell r="C21" t="str">
            <v>IN</v>
          </cell>
          <cell r="D21" t="str">
            <v>Medieval Studies</v>
          </cell>
          <cell r="E21">
            <v>21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O21">
            <v>0</v>
          </cell>
          <cell r="Q21">
            <v>0</v>
          </cell>
          <cell r="R21">
            <v>21</v>
          </cell>
          <cell r="U21">
            <v>21</v>
          </cell>
          <cell r="V21" t="str">
            <v>Excluded</v>
          </cell>
        </row>
        <row r="22">
          <cell r="A22">
            <v>211235</v>
          </cell>
          <cell r="B22">
            <v>1</v>
          </cell>
          <cell r="C22" t="str">
            <v>IN</v>
          </cell>
          <cell r="D22" t="str">
            <v>Intensive English</v>
          </cell>
          <cell r="E22">
            <v>141694</v>
          </cell>
          <cell r="F22">
            <v>0</v>
          </cell>
          <cell r="G22">
            <v>128225</v>
          </cell>
          <cell r="H22">
            <v>128225</v>
          </cell>
          <cell r="I22">
            <v>2.9576280369805804E-3</v>
          </cell>
          <cell r="J22">
            <v>42792.173635038234</v>
          </cell>
          <cell r="O22">
            <v>42792.173635038234</v>
          </cell>
          <cell r="Q22">
            <v>159</v>
          </cell>
          <cell r="R22">
            <v>184645.17363503823</v>
          </cell>
          <cell r="U22">
            <v>184645.17363503823</v>
          </cell>
          <cell r="V22" t="str">
            <v>Excluded</v>
          </cell>
        </row>
        <row r="23">
          <cell r="A23">
            <v>211240</v>
          </cell>
          <cell r="B23">
            <v>1</v>
          </cell>
          <cell r="C23" t="str">
            <v>IN</v>
          </cell>
          <cell r="D23" t="str">
            <v>Center for Study of New Orleans</v>
          </cell>
          <cell r="E23">
            <v>9914</v>
          </cell>
          <cell r="F23">
            <v>0</v>
          </cell>
          <cell r="G23">
            <v>8431</v>
          </cell>
          <cell r="H23">
            <v>8431</v>
          </cell>
          <cell r="I23">
            <v>1.944688007781889E-4</v>
          </cell>
          <cell r="J23">
            <v>2813.6542477442567</v>
          </cell>
          <cell r="O23">
            <v>2813.6542477442567</v>
          </cell>
          <cell r="Q23">
            <v>0</v>
          </cell>
          <cell r="R23">
            <v>12727.654247744256</v>
          </cell>
          <cell r="U23">
            <v>12727.654247744256</v>
          </cell>
          <cell r="V23" t="str">
            <v>Undergrad</v>
          </cell>
        </row>
        <row r="24">
          <cell r="A24">
            <v>211281</v>
          </cell>
          <cell r="B24">
            <v>1</v>
          </cell>
          <cell r="C24" t="str">
            <v>IN</v>
          </cell>
          <cell r="D24" t="str">
            <v>Summer Instructional</v>
          </cell>
          <cell r="E24">
            <v>714936</v>
          </cell>
          <cell r="F24">
            <v>0</v>
          </cell>
          <cell r="G24">
            <v>714936</v>
          </cell>
          <cell r="H24">
            <v>714936</v>
          </cell>
          <cell r="I24">
            <v>0</v>
          </cell>
          <cell r="J24">
            <v>0</v>
          </cell>
          <cell r="N24">
            <v>111887.484</v>
          </cell>
          <cell r="O24">
            <v>111887.484</v>
          </cell>
          <cell r="Q24">
            <v>0</v>
          </cell>
          <cell r="R24">
            <v>826823.48399999994</v>
          </cell>
          <cell r="U24">
            <v>826823.48399999994</v>
          </cell>
          <cell r="V24" t="str">
            <v>Students</v>
          </cell>
        </row>
        <row r="25">
          <cell r="A25">
            <v>211301</v>
          </cell>
          <cell r="B25">
            <v>1</v>
          </cell>
          <cell r="C25" t="str">
            <v>IN</v>
          </cell>
          <cell r="D25" t="str">
            <v>Food Studies</v>
          </cell>
          <cell r="E25">
            <v>4936</v>
          </cell>
          <cell r="F25">
            <v>0</v>
          </cell>
          <cell r="G25">
            <v>3500</v>
          </cell>
          <cell r="H25">
            <v>3500</v>
          </cell>
          <cell r="I25">
            <v>8.07307321460872E-5</v>
          </cell>
          <cell r="J25">
            <v>1168.0452932160952</v>
          </cell>
          <cell r="O25">
            <v>1168.0452932160952</v>
          </cell>
          <cell r="Q25">
            <v>0</v>
          </cell>
          <cell r="R25">
            <v>6104.0452932160952</v>
          </cell>
          <cell r="U25">
            <v>6104.0452932160952</v>
          </cell>
          <cell r="V25" t="str">
            <v>Excluded</v>
          </cell>
        </row>
        <row r="26">
          <cell r="A26">
            <v>211302</v>
          </cell>
          <cell r="B26">
            <v>1</v>
          </cell>
          <cell r="C26" t="str">
            <v>IN</v>
          </cell>
          <cell r="D26" t="str">
            <v>Physics</v>
          </cell>
          <cell r="E26">
            <v>334154</v>
          </cell>
          <cell r="F26">
            <v>0</v>
          </cell>
          <cell r="G26">
            <v>326818</v>
          </cell>
          <cell r="H26">
            <v>326818</v>
          </cell>
          <cell r="I26">
            <v>7.5383589767199785E-3</v>
          </cell>
          <cell r="J26">
            <v>109068.06475379936</v>
          </cell>
          <cell r="O26">
            <v>109068.06475379936</v>
          </cell>
          <cell r="Q26">
            <v>631</v>
          </cell>
          <cell r="R26">
            <v>443853.06475379935</v>
          </cell>
          <cell r="U26">
            <v>443853.06475379935</v>
          </cell>
          <cell r="V26" t="str">
            <v>Excluded</v>
          </cell>
        </row>
        <row r="27">
          <cell r="A27">
            <v>211305</v>
          </cell>
          <cell r="B27">
            <v>1</v>
          </cell>
          <cell r="C27" t="str">
            <v>IN</v>
          </cell>
          <cell r="D27" t="str">
            <v xml:space="preserve">Honors </v>
          </cell>
          <cell r="E27">
            <v>8770</v>
          </cell>
          <cell r="F27">
            <v>0</v>
          </cell>
          <cell r="G27">
            <v>8770</v>
          </cell>
          <cell r="H27">
            <v>8770</v>
          </cell>
          <cell r="I27">
            <v>2.0228814883462419E-4</v>
          </cell>
          <cell r="J27">
            <v>2926.7877775729012</v>
          </cell>
          <cell r="O27">
            <v>2926.7877775729012</v>
          </cell>
          <cell r="Q27">
            <v>0</v>
          </cell>
          <cell r="R27">
            <v>11696.787777572901</v>
          </cell>
          <cell r="U27">
            <v>11696.787777572901</v>
          </cell>
          <cell r="V27" t="str">
            <v>Undergrad</v>
          </cell>
        </row>
        <row r="28">
          <cell r="A28">
            <v>211306</v>
          </cell>
          <cell r="B28">
            <v>1</v>
          </cell>
          <cell r="C28" t="str">
            <v>IN</v>
          </cell>
          <cell r="D28" t="str">
            <v>Environmental Studies</v>
          </cell>
          <cell r="E28">
            <v>70878</v>
          </cell>
          <cell r="F28">
            <v>0</v>
          </cell>
          <cell r="G28">
            <v>67000</v>
          </cell>
          <cell r="H28">
            <v>67000</v>
          </cell>
          <cell r="I28">
            <v>1.5454168725108121E-3</v>
          </cell>
          <cell r="J28">
            <v>22359.724184422394</v>
          </cell>
          <cell r="O28">
            <v>22359.724184422394</v>
          </cell>
          <cell r="Q28">
            <v>568</v>
          </cell>
          <cell r="R28">
            <v>93805.72418442239</v>
          </cell>
          <cell r="U28">
            <v>93805.72418442239</v>
          </cell>
          <cell r="V28" t="str">
            <v>Excluded</v>
          </cell>
        </row>
        <row r="29">
          <cell r="A29">
            <v>211307</v>
          </cell>
          <cell r="B29">
            <v>1</v>
          </cell>
          <cell r="C29" t="str">
            <v>IN</v>
          </cell>
          <cell r="D29" t="str">
            <v>Religious Studies</v>
          </cell>
          <cell r="E29">
            <v>522471</v>
          </cell>
          <cell r="F29">
            <v>32612</v>
          </cell>
          <cell r="G29">
            <v>519778</v>
          </cell>
          <cell r="H29">
            <v>487166</v>
          </cell>
          <cell r="I29">
            <v>1.1236933673337347E-2</v>
          </cell>
          <cell r="J29">
            <v>162580.55808997492</v>
          </cell>
          <cell r="M29">
            <v>10156.418940876489</v>
          </cell>
          <cell r="O29">
            <v>172736.97703085141</v>
          </cell>
          <cell r="Q29">
            <v>0</v>
          </cell>
          <cell r="R29">
            <v>695207.97703085141</v>
          </cell>
          <cell r="U29">
            <v>695207.97703085141</v>
          </cell>
          <cell r="V29" t="str">
            <v>Excluded</v>
          </cell>
        </row>
        <row r="30">
          <cell r="A30">
            <v>211309</v>
          </cell>
          <cell r="B30">
            <v>1</v>
          </cell>
          <cell r="C30" t="str">
            <v>IN</v>
          </cell>
          <cell r="D30" t="str">
            <v>Biology</v>
          </cell>
          <cell r="E30">
            <v>847176</v>
          </cell>
          <cell r="F30">
            <v>0</v>
          </cell>
          <cell r="G30">
            <v>824190</v>
          </cell>
          <cell r="H30">
            <v>824190</v>
          </cell>
          <cell r="I30">
            <v>1.9010703464995317E-2</v>
          </cell>
          <cell r="J30">
            <v>275054.64291879244</v>
          </cell>
          <cell r="O30">
            <v>275054.64291879244</v>
          </cell>
          <cell r="Q30">
            <v>2429</v>
          </cell>
          <cell r="R30">
            <v>1124659.6429187926</v>
          </cell>
          <cell r="U30">
            <v>1124659.6429187926</v>
          </cell>
          <cell r="V30" t="str">
            <v>Excluded</v>
          </cell>
        </row>
        <row r="31">
          <cell r="A31">
            <v>211310</v>
          </cell>
          <cell r="B31">
            <v>1</v>
          </cell>
          <cell r="C31" t="str">
            <v>IN</v>
          </cell>
          <cell r="D31" t="str">
            <v>Classics</v>
          </cell>
          <cell r="E31">
            <v>117659</v>
          </cell>
          <cell r="F31">
            <v>0</v>
          </cell>
          <cell r="G31">
            <v>117518</v>
          </cell>
          <cell r="H31">
            <v>117518</v>
          </cell>
          <cell r="I31">
            <v>2.7106611943839643E-3</v>
          </cell>
          <cell r="J31">
            <v>39218.956219476873</v>
          </cell>
          <cell r="O31">
            <v>39218.956219476873</v>
          </cell>
          <cell r="Q31">
            <v>0</v>
          </cell>
          <cell r="R31">
            <v>156877.95621947688</v>
          </cell>
          <cell r="U31">
            <v>156877.95621947688</v>
          </cell>
          <cell r="V31" t="str">
            <v>Excluded</v>
          </cell>
        </row>
        <row r="32">
          <cell r="A32">
            <v>211311</v>
          </cell>
          <cell r="B32">
            <v>1</v>
          </cell>
          <cell r="C32" t="str">
            <v>IN</v>
          </cell>
          <cell r="D32" t="str">
            <v>Chemistry/Biochem</v>
          </cell>
          <cell r="E32">
            <v>665389</v>
          </cell>
          <cell r="F32">
            <v>0</v>
          </cell>
          <cell r="G32">
            <v>644224</v>
          </cell>
          <cell r="H32">
            <v>644224</v>
          </cell>
          <cell r="I32">
            <v>1.4859621481737393E-2</v>
          </cell>
          <cell r="J32">
            <v>214995.08885052733</v>
          </cell>
          <cell r="O32">
            <v>214995.08885052733</v>
          </cell>
          <cell r="Q32">
            <v>4846</v>
          </cell>
          <cell r="R32">
            <v>885230.0888505273</v>
          </cell>
          <cell r="U32">
            <v>885230.0888505273</v>
          </cell>
          <cell r="V32" t="str">
            <v>Excluded</v>
          </cell>
        </row>
        <row r="33">
          <cell r="A33">
            <v>211313</v>
          </cell>
          <cell r="B33">
            <v>1</v>
          </cell>
          <cell r="C33" t="str">
            <v>IN</v>
          </cell>
          <cell r="D33" t="str">
            <v>Languages</v>
          </cell>
          <cell r="E33">
            <v>613243</v>
          </cell>
          <cell r="F33">
            <v>73973</v>
          </cell>
          <cell r="G33">
            <v>610729</v>
          </cell>
          <cell r="H33">
            <v>536756</v>
          </cell>
          <cell r="I33">
            <v>1.2380772818230051E-2</v>
          </cell>
          <cell r="J33">
            <v>179130.09125871383</v>
          </cell>
          <cell r="M33">
            <v>23037.556062598323</v>
          </cell>
          <cell r="O33">
            <v>202167.64732131216</v>
          </cell>
          <cell r="Q33">
            <v>4277</v>
          </cell>
          <cell r="R33">
            <v>819687.64732131222</v>
          </cell>
          <cell r="U33">
            <v>819687.64732131222</v>
          </cell>
          <cell r="V33" t="str">
            <v>Excluded</v>
          </cell>
        </row>
        <row r="34">
          <cell r="A34">
            <v>211314</v>
          </cell>
          <cell r="B34">
            <v>1</v>
          </cell>
          <cell r="C34" t="str">
            <v>IN</v>
          </cell>
          <cell r="D34" t="str">
            <v>Language Lab</v>
          </cell>
          <cell r="E34">
            <v>1737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O34">
            <v>0</v>
          </cell>
          <cell r="Q34">
            <v>0</v>
          </cell>
          <cell r="R34">
            <v>1737</v>
          </cell>
          <cell r="U34">
            <v>1737</v>
          </cell>
          <cell r="V34" t="str">
            <v>Excluded</v>
          </cell>
        </row>
        <row r="35">
          <cell r="A35">
            <v>211319</v>
          </cell>
          <cell r="B35">
            <v>1</v>
          </cell>
          <cell r="C35" t="str">
            <v>IN</v>
          </cell>
          <cell r="D35" t="str">
            <v>English</v>
          </cell>
          <cell r="E35">
            <v>956360</v>
          </cell>
          <cell r="F35">
            <v>0</v>
          </cell>
          <cell r="G35">
            <v>947176</v>
          </cell>
          <cell r="H35">
            <v>947176</v>
          </cell>
          <cell r="I35">
            <v>2.1847489128914939E-2</v>
          </cell>
          <cell r="J35">
            <v>316098.41961349949</v>
          </cell>
          <cell r="O35">
            <v>316098.41961349949</v>
          </cell>
          <cell r="Q35">
            <v>1783</v>
          </cell>
          <cell r="R35">
            <v>1274241.4196134994</v>
          </cell>
          <cell r="U35">
            <v>1274241.4196134994</v>
          </cell>
          <cell r="V35" t="str">
            <v>Excluded</v>
          </cell>
        </row>
        <row r="36">
          <cell r="A36">
            <v>211320</v>
          </cell>
          <cell r="B36">
            <v>1</v>
          </cell>
          <cell r="C36" t="str">
            <v>IN</v>
          </cell>
          <cell r="D36" t="str">
            <v>Writing Lab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O36">
            <v>0</v>
          </cell>
          <cell r="Q36">
            <v>0</v>
          </cell>
          <cell r="R36">
            <v>0</v>
          </cell>
          <cell r="U36">
            <v>0</v>
          </cell>
          <cell r="V36" t="str">
            <v>Excluded</v>
          </cell>
        </row>
        <row r="37">
          <cell r="A37">
            <v>211321</v>
          </cell>
          <cell r="B37">
            <v>1</v>
          </cell>
          <cell r="C37" t="str">
            <v>IN</v>
          </cell>
          <cell r="D37" t="str">
            <v>Writing Across Curriculum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O37">
            <v>0</v>
          </cell>
          <cell r="Q37">
            <v>0</v>
          </cell>
          <cell r="R37">
            <v>0</v>
          </cell>
          <cell r="U37">
            <v>0</v>
          </cell>
          <cell r="V37" t="str">
            <v>Excluded</v>
          </cell>
        </row>
        <row r="38">
          <cell r="A38">
            <v>211325</v>
          </cell>
          <cell r="B38">
            <v>1</v>
          </cell>
          <cell r="C38" t="str">
            <v>IN</v>
          </cell>
          <cell r="D38" t="str">
            <v>Math</v>
          </cell>
          <cell r="E38">
            <v>610079</v>
          </cell>
          <cell r="F38">
            <v>0</v>
          </cell>
          <cell r="G38">
            <v>602261</v>
          </cell>
          <cell r="H38">
            <v>602261</v>
          </cell>
          <cell r="I38">
            <v>1.3891706135152749E-2</v>
          </cell>
          <cell r="J38">
            <v>200990.89323931962</v>
          </cell>
          <cell r="O38">
            <v>200990.89323931962</v>
          </cell>
          <cell r="Q38">
            <v>3075</v>
          </cell>
          <cell r="R38">
            <v>814144.89323931956</v>
          </cell>
          <cell r="U38">
            <v>814144.89323931956</v>
          </cell>
          <cell r="V38" t="str">
            <v>Excluded</v>
          </cell>
        </row>
        <row r="39">
          <cell r="A39">
            <v>211334</v>
          </cell>
          <cell r="B39">
            <v>1</v>
          </cell>
          <cell r="C39" t="str">
            <v>IN</v>
          </cell>
          <cell r="D39" t="str">
            <v>Math Center</v>
          </cell>
          <cell r="E39">
            <v>7411</v>
          </cell>
          <cell r="F39">
            <v>0</v>
          </cell>
          <cell r="G39">
            <v>7411</v>
          </cell>
          <cell r="H39">
            <v>7411</v>
          </cell>
          <cell r="I39">
            <v>1.7094155883847205E-4</v>
          </cell>
          <cell r="J39">
            <v>2473.2524765784233</v>
          </cell>
          <cell r="O39">
            <v>2473.2524765784233</v>
          </cell>
          <cell r="Q39">
            <v>0</v>
          </cell>
          <cell r="R39">
            <v>9884.2524765784237</v>
          </cell>
          <cell r="U39">
            <v>9884.2524765784237</v>
          </cell>
          <cell r="V39" t="str">
            <v>Excluded</v>
          </cell>
        </row>
        <row r="40">
          <cell r="A40">
            <v>211350</v>
          </cell>
          <cell r="B40">
            <v>1</v>
          </cell>
          <cell r="C40" t="str">
            <v>IN</v>
          </cell>
          <cell r="D40" t="str">
            <v>History</v>
          </cell>
          <cell r="E40">
            <v>658117</v>
          </cell>
          <cell r="F40">
            <v>0</v>
          </cell>
          <cell r="G40">
            <v>654038</v>
          </cell>
          <cell r="H40">
            <v>654038</v>
          </cell>
          <cell r="I40">
            <v>1.5085990454675022E-2</v>
          </cell>
          <cell r="J40">
            <v>218270.28785270528</v>
          </cell>
          <cell r="M40">
            <v>0</v>
          </cell>
          <cell r="O40">
            <v>218270.28785270528</v>
          </cell>
          <cell r="Q40">
            <v>887</v>
          </cell>
          <cell r="R40">
            <v>877274.28785270522</v>
          </cell>
          <cell r="U40">
            <v>877274.28785270522</v>
          </cell>
          <cell r="V40" t="str">
            <v>Excluded</v>
          </cell>
        </row>
        <row r="41">
          <cell r="A41">
            <v>211356</v>
          </cell>
          <cell r="B41">
            <v>1</v>
          </cell>
          <cell r="C41" t="str">
            <v>IN</v>
          </cell>
          <cell r="D41" t="str">
            <v>Philosophy</v>
          </cell>
          <cell r="E41">
            <v>670508</v>
          </cell>
          <cell r="F41">
            <v>0</v>
          </cell>
          <cell r="G41">
            <v>668456</v>
          </cell>
          <cell r="H41">
            <v>668456</v>
          </cell>
          <cell r="I41">
            <v>1.5418554939269961E-2</v>
          </cell>
          <cell r="J41">
            <v>223081.96700630232</v>
          </cell>
          <cell r="O41">
            <v>223081.96700630232</v>
          </cell>
          <cell r="Q41">
            <v>891</v>
          </cell>
          <cell r="R41">
            <v>894480.96700630232</v>
          </cell>
          <cell r="U41">
            <v>894480.96700630232</v>
          </cell>
          <cell r="V41" t="str">
            <v>Excluded</v>
          </cell>
        </row>
        <row r="42">
          <cell r="A42">
            <v>211359</v>
          </cell>
          <cell r="B42">
            <v>1</v>
          </cell>
          <cell r="C42" t="str">
            <v>IN</v>
          </cell>
          <cell r="D42" t="str">
            <v>Psychology</v>
          </cell>
          <cell r="E42">
            <v>641057</v>
          </cell>
          <cell r="F42">
            <v>0</v>
          </cell>
          <cell r="G42">
            <v>628916</v>
          </cell>
          <cell r="H42">
            <v>628916</v>
          </cell>
          <cell r="I42">
            <v>1.4506528325253879E-2</v>
          </cell>
          <cell r="J42">
            <v>209886.39246522679</v>
          </cell>
          <cell r="O42">
            <v>209886.39246522679</v>
          </cell>
          <cell r="Q42">
            <v>3672</v>
          </cell>
          <cell r="R42">
            <v>854615.39246522682</v>
          </cell>
          <cell r="U42">
            <v>854615.39246522682</v>
          </cell>
          <cell r="V42" t="str">
            <v>Excluded</v>
          </cell>
        </row>
        <row r="43">
          <cell r="A43">
            <v>211362</v>
          </cell>
          <cell r="B43">
            <v>1</v>
          </cell>
          <cell r="C43" t="str">
            <v>IN</v>
          </cell>
          <cell r="D43" t="str">
            <v>Sociology</v>
          </cell>
          <cell r="E43">
            <v>388672</v>
          </cell>
          <cell r="F43">
            <v>0</v>
          </cell>
          <cell r="G43">
            <v>383830</v>
          </cell>
          <cell r="H43">
            <v>383830</v>
          </cell>
          <cell r="I43">
            <v>8.8533934056093284E-3</v>
          </cell>
          <cell r="J43">
            <v>128094.52139860966</v>
          </cell>
          <cell r="O43">
            <v>128094.52139860966</v>
          </cell>
          <cell r="Q43">
            <v>929</v>
          </cell>
          <cell r="R43">
            <v>517695.52139860968</v>
          </cell>
          <cell r="U43">
            <v>517695.52139860968</v>
          </cell>
          <cell r="V43" t="str">
            <v>Excluded</v>
          </cell>
        </row>
        <row r="44">
          <cell r="A44">
            <v>211366</v>
          </cell>
          <cell r="B44">
            <v>1</v>
          </cell>
          <cell r="C44" t="str">
            <v>IN</v>
          </cell>
          <cell r="D44" t="str">
            <v>LIM</v>
          </cell>
          <cell r="E44">
            <v>397139</v>
          </cell>
          <cell r="F44">
            <v>0</v>
          </cell>
          <cell r="G44">
            <v>343023</v>
          </cell>
          <cell r="H44">
            <v>343023</v>
          </cell>
          <cell r="I44">
            <v>7.9121422665563625E-3</v>
          </cell>
          <cell r="J44">
            <v>114476.11446138989</v>
          </cell>
          <cell r="O44">
            <v>114476.11446138989</v>
          </cell>
          <cell r="Q44">
            <v>1031</v>
          </cell>
          <cell r="R44">
            <v>512646.11446138989</v>
          </cell>
          <cell r="U44">
            <v>512646.11446138989</v>
          </cell>
          <cell r="V44" t="str">
            <v>Excluded</v>
          </cell>
        </row>
        <row r="45">
          <cell r="A45">
            <v>211367</v>
          </cell>
          <cell r="B45">
            <v>1</v>
          </cell>
          <cell r="C45" t="str">
            <v>IN</v>
          </cell>
          <cell r="D45" t="str">
            <v>LIM Online</v>
          </cell>
          <cell r="E45">
            <v>52439</v>
          </cell>
          <cell r="F45">
            <v>0</v>
          </cell>
          <cell r="G45">
            <v>51788</v>
          </cell>
          <cell r="H45">
            <v>51788</v>
          </cell>
          <cell r="I45">
            <v>1.1945380446804468E-3</v>
          </cell>
          <cell r="J45">
            <v>17283.06561287861</v>
          </cell>
          <cell r="O45">
            <v>17283.06561287861</v>
          </cell>
          <cell r="Q45">
            <v>0</v>
          </cell>
          <cell r="R45">
            <v>69722.065612878607</v>
          </cell>
          <cell r="U45">
            <v>69722.065612878607</v>
          </cell>
          <cell r="V45" t="str">
            <v>Excluded</v>
          </cell>
        </row>
        <row r="46">
          <cell r="A46">
            <v>211371</v>
          </cell>
          <cell r="B46">
            <v>1</v>
          </cell>
          <cell r="C46" t="str">
            <v>IN</v>
          </cell>
          <cell r="D46" t="str">
            <v>HCSM Online</v>
          </cell>
          <cell r="E46">
            <v>775966.23</v>
          </cell>
          <cell r="F46">
            <v>0</v>
          </cell>
          <cell r="G46">
            <v>758729</v>
          </cell>
          <cell r="H46">
            <v>758729</v>
          </cell>
          <cell r="I46">
            <v>1.7500785048705312E-2</v>
          </cell>
          <cell r="J46">
            <v>253208.52493615847</v>
          </cell>
          <cell r="O46">
            <v>253208.52493615847</v>
          </cell>
          <cell r="Q46">
            <v>0</v>
          </cell>
          <cell r="R46">
            <v>1029174.7549361584</v>
          </cell>
          <cell r="U46">
            <v>1029174.7549361584</v>
          </cell>
          <cell r="V46" t="str">
            <v>Excluded</v>
          </cell>
        </row>
        <row r="47">
          <cell r="A47">
            <v>211372</v>
          </cell>
          <cell r="B47">
            <v>1</v>
          </cell>
          <cell r="C47" t="str">
            <v>IN</v>
          </cell>
          <cell r="D47" t="str">
            <v>DNP Prog</v>
          </cell>
          <cell r="E47">
            <v>381612</v>
          </cell>
          <cell r="F47">
            <v>0</v>
          </cell>
          <cell r="G47">
            <v>366815</v>
          </cell>
          <cell r="H47">
            <v>366815</v>
          </cell>
          <cell r="I47">
            <v>8.4609267177619928E-3</v>
          </cell>
          <cell r="J47">
            <v>122416.15263744627</v>
          </cell>
          <cell r="O47">
            <v>122416.15263744627</v>
          </cell>
          <cell r="Q47">
            <v>0</v>
          </cell>
          <cell r="R47">
            <v>504028.1526374463</v>
          </cell>
          <cell r="U47">
            <v>504028.1526374463</v>
          </cell>
          <cell r="V47" t="str">
            <v>Excluded</v>
          </cell>
        </row>
        <row r="48">
          <cell r="A48">
            <v>211373</v>
          </cell>
          <cell r="B48">
            <v>1</v>
          </cell>
          <cell r="C48" t="str">
            <v>IN</v>
          </cell>
          <cell r="D48" t="str">
            <v>Nursing - BSN EXT</v>
          </cell>
          <cell r="E48">
            <v>72764</v>
          </cell>
          <cell r="F48">
            <v>0</v>
          </cell>
          <cell r="G48">
            <v>69174</v>
          </cell>
          <cell r="H48">
            <v>69174</v>
          </cell>
          <cell r="I48">
            <v>1.5955621901352674E-3</v>
          </cell>
          <cell r="J48">
            <v>23085.247175122906</v>
          </cell>
          <cell r="O48">
            <v>23085.247175122906</v>
          </cell>
          <cell r="Q48">
            <v>0</v>
          </cell>
          <cell r="R48">
            <v>95849.247175122902</v>
          </cell>
          <cell r="U48">
            <v>95849.247175122902</v>
          </cell>
          <cell r="V48" t="str">
            <v>Excluded</v>
          </cell>
        </row>
        <row r="49">
          <cell r="A49">
            <v>211374</v>
          </cell>
          <cell r="B49">
            <v>1</v>
          </cell>
          <cell r="C49" t="str">
            <v>IN</v>
          </cell>
          <cell r="D49" t="str">
            <v xml:space="preserve">Nursing </v>
          </cell>
          <cell r="E49">
            <v>103101</v>
          </cell>
          <cell r="F49">
            <v>0</v>
          </cell>
          <cell r="G49">
            <v>13922</v>
          </cell>
          <cell r="H49">
            <v>13922</v>
          </cell>
          <cell r="I49">
            <v>3.2112378655366458E-4</v>
          </cell>
          <cell r="J49">
            <v>4646.1504491869937</v>
          </cell>
          <cell r="O49">
            <v>4646.1504491869937</v>
          </cell>
          <cell r="Q49">
            <v>447</v>
          </cell>
          <cell r="R49">
            <v>108194.150449187</v>
          </cell>
          <cell r="U49">
            <v>108194.150449187</v>
          </cell>
          <cell r="V49" t="str">
            <v>Excluded</v>
          </cell>
        </row>
        <row r="50">
          <cell r="A50">
            <v>211375</v>
          </cell>
          <cell r="B50">
            <v>1</v>
          </cell>
          <cell r="C50" t="str">
            <v>IN</v>
          </cell>
          <cell r="D50" t="str">
            <v>Mass Communication</v>
          </cell>
          <cell r="E50">
            <v>805175</v>
          </cell>
          <cell r="F50">
            <v>0</v>
          </cell>
          <cell r="G50">
            <v>759843</v>
          </cell>
          <cell r="H50">
            <v>759843</v>
          </cell>
          <cell r="I50">
            <v>1.752648048745124E-2</v>
          </cell>
          <cell r="J50">
            <v>253580.29706662786</v>
          </cell>
          <cell r="O50">
            <v>253580.29706662786</v>
          </cell>
          <cell r="Q50">
            <v>7717</v>
          </cell>
          <cell r="R50">
            <v>1066472.2970666278</v>
          </cell>
          <cell r="U50">
            <v>1066472.2970666278</v>
          </cell>
          <cell r="V50" t="str">
            <v>Excluded</v>
          </cell>
        </row>
        <row r="51">
          <cell r="A51">
            <v>211378</v>
          </cell>
          <cell r="B51">
            <v>1</v>
          </cell>
          <cell r="C51" t="str">
            <v>IN</v>
          </cell>
          <cell r="D51" t="str">
            <v>Nurse Practitioner</v>
          </cell>
          <cell r="E51">
            <v>149297</v>
          </cell>
          <cell r="F51">
            <v>0</v>
          </cell>
          <cell r="G51">
            <v>128930</v>
          </cell>
          <cell r="H51">
            <v>128930</v>
          </cell>
          <cell r="I51">
            <v>2.9738895130271494E-3</v>
          </cell>
          <cell r="J51">
            <v>43027.451329814619</v>
          </cell>
          <cell r="O51">
            <v>43027.451329814619</v>
          </cell>
          <cell r="Q51">
            <v>0</v>
          </cell>
          <cell r="R51">
            <v>192324.45132981462</v>
          </cell>
          <cell r="U51">
            <v>192324.45132981462</v>
          </cell>
          <cell r="V51" t="str">
            <v>Excluded</v>
          </cell>
        </row>
        <row r="52">
          <cell r="A52">
            <v>211379</v>
          </cell>
          <cell r="B52">
            <v>1</v>
          </cell>
          <cell r="C52" t="str">
            <v>IN</v>
          </cell>
          <cell r="D52" t="str">
            <v>Nurse BSN to DNP</v>
          </cell>
          <cell r="E52">
            <v>338481</v>
          </cell>
          <cell r="F52">
            <v>0</v>
          </cell>
          <cell r="G52">
            <v>338026</v>
          </cell>
          <cell r="H52">
            <v>338026</v>
          </cell>
          <cell r="I52">
            <v>7.7968818469752203E-3</v>
          </cell>
          <cell r="J52">
            <v>112808.47950990393</v>
          </cell>
          <cell r="O52">
            <v>112808.47950990393</v>
          </cell>
          <cell r="Q52">
            <v>0</v>
          </cell>
          <cell r="R52">
            <v>451289.47950990393</v>
          </cell>
          <cell r="U52">
            <v>451289.47950990393</v>
          </cell>
          <cell r="V52" t="str">
            <v>Excluded</v>
          </cell>
        </row>
        <row r="53">
          <cell r="A53">
            <v>211381</v>
          </cell>
          <cell r="B53">
            <v>1</v>
          </cell>
          <cell r="C53" t="str">
            <v>IN</v>
          </cell>
          <cell r="D53" t="str">
            <v>Political Science</v>
          </cell>
          <cell r="E53">
            <v>412647</v>
          </cell>
          <cell r="F53">
            <v>0</v>
          </cell>
          <cell r="G53">
            <v>405037</v>
          </cell>
          <cell r="H53">
            <v>405037</v>
          </cell>
          <cell r="I53">
            <v>9.3425524446442056E-3</v>
          </cell>
          <cell r="J53">
            <v>135171.87469381929</v>
          </cell>
          <cell r="O53">
            <v>135171.87469381929</v>
          </cell>
          <cell r="Q53">
            <v>1035</v>
          </cell>
          <cell r="R53">
            <v>548853.87469381932</v>
          </cell>
          <cell r="U53">
            <v>548853.87469381932</v>
          </cell>
          <cell r="V53" t="str">
            <v>Excluded</v>
          </cell>
        </row>
        <row r="54">
          <cell r="A54">
            <v>211382</v>
          </cell>
          <cell r="B54">
            <v>1</v>
          </cell>
          <cell r="C54" t="str">
            <v>IN</v>
          </cell>
          <cell r="D54" t="str">
            <v>Environmental Communication</v>
          </cell>
          <cell r="E54">
            <v>70967</v>
          </cell>
          <cell r="F54">
            <v>0</v>
          </cell>
          <cell r="G54">
            <v>70967</v>
          </cell>
          <cell r="H54">
            <v>70967</v>
          </cell>
          <cell r="I54">
            <v>1.6369193909175344E-3</v>
          </cell>
          <cell r="J54">
            <v>23683.62009247618</v>
          </cell>
          <cell r="O54">
            <v>23683.62009247618</v>
          </cell>
          <cell r="Q54">
            <v>0</v>
          </cell>
          <cell r="R54">
            <v>94650.62009247618</v>
          </cell>
          <cell r="U54">
            <v>94650.62009247618</v>
          </cell>
          <cell r="V54" t="str">
            <v>Excluded</v>
          </cell>
        </row>
        <row r="55">
          <cell r="A55">
            <v>211383</v>
          </cell>
          <cell r="B55">
            <v>1</v>
          </cell>
          <cell r="C55" t="str">
            <v>IN</v>
          </cell>
          <cell r="D55" t="str">
            <v>Counseling</v>
          </cell>
          <cell r="E55">
            <v>427023</v>
          </cell>
          <cell r="F55">
            <v>0</v>
          </cell>
          <cell r="G55">
            <v>396352</v>
          </cell>
          <cell r="H55">
            <v>396352</v>
          </cell>
          <cell r="I55">
            <v>9.142224899304557E-3</v>
          </cell>
          <cell r="J55">
            <v>132273.4537305102</v>
          </cell>
          <cell r="O55">
            <v>132273.4537305102</v>
          </cell>
          <cell r="Q55">
            <v>3161</v>
          </cell>
          <cell r="R55">
            <v>562457.4537305102</v>
          </cell>
          <cell r="U55">
            <v>562457.4537305102</v>
          </cell>
          <cell r="V55" t="str">
            <v>Excluded</v>
          </cell>
        </row>
        <row r="56">
          <cell r="A56">
            <v>211391</v>
          </cell>
          <cell r="B56">
            <v>1</v>
          </cell>
          <cell r="C56" t="str">
            <v>IN</v>
          </cell>
          <cell r="D56" t="str">
            <v>Criminal Justice</v>
          </cell>
          <cell r="E56">
            <v>478023</v>
          </cell>
          <cell r="F56">
            <v>0</v>
          </cell>
          <cell r="G56">
            <v>469711</v>
          </cell>
          <cell r="H56">
            <v>469711</v>
          </cell>
          <cell r="I56">
            <v>1.0834317979163075E-2</v>
          </cell>
          <cell r="J56">
            <v>156755.34934909292</v>
          </cell>
          <cell r="O56">
            <v>156755.34934909292</v>
          </cell>
          <cell r="Q56">
            <v>932</v>
          </cell>
          <cell r="R56">
            <v>635710.34934909292</v>
          </cell>
          <cell r="U56">
            <v>635710.34934909292</v>
          </cell>
          <cell r="V56" t="str">
            <v>Excluded</v>
          </cell>
        </row>
        <row r="57">
          <cell r="A57">
            <v>211392</v>
          </cell>
          <cell r="B57">
            <v>1</v>
          </cell>
          <cell r="C57" t="str">
            <v>IN</v>
          </cell>
          <cell r="D57" t="str">
            <v>Mast Crim Justice on line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O57">
            <v>0</v>
          </cell>
          <cell r="Q57">
            <v>0</v>
          </cell>
          <cell r="R57">
            <v>0</v>
          </cell>
          <cell r="U57">
            <v>0</v>
          </cell>
          <cell r="V57" t="str">
            <v>Excluded</v>
          </cell>
        </row>
        <row r="58">
          <cell r="A58">
            <v>211402</v>
          </cell>
          <cell r="B58">
            <v>1</v>
          </cell>
          <cell r="C58" t="str">
            <v>IN</v>
          </cell>
          <cell r="D58" t="str">
            <v>Business Instructional</v>
          </cell>
          <cell r="E58">
            <v>2404378</v>
          </cell>
          <cell r="F58">
            <v>0</v>
          </cell>
          <cell r="G58">
            <v>2404378</v>
          </cell>
          <cell r="H58">
            <v>2404378</v>
          </cell>
          <cell r="I58">
            <v>5.5459198941698526E-2</v>
          </cell>
          <cell r="J58">
            <v>802406.4017178081</v>
          </cell>
          <cell r="O58">
            <v>802406.4017178081</v>
          </cell>
          <cell r="Q58">
            <v>0</v>
          </cell>
          <cell r="R58">
            <v>3206784.4017178081</v>
          </cell>
          <cell r="U58">
            <v>3206784.4017178081</v>
          </cell>
          <cell r="V58" t="str">
            <v>Excluded</v>
          </cell>
        </row>
        <row r="59">
          <cell r="A59">
            <v>211410</v>
          </cell>
          <cell r="B59">
            <v>1</v>
          </cell>
          <cell r="C59" t="str">
            <v>IN</v>
          </cell>
          <cell r="D59" t="str">
            <v>Business Exec Program</v>
          </cell>
          <cell r="E59">
            <v>79608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O59">
            <v>0</v>
          </cell>
          <cell r="Q59">
            <v>0</v>
          </cell>
          <cell r="R59">
            <v>79608</v>
          </cell>
          <cell r="U59">
            <v>79608</v>
          </cell>
          <cell r="V59" t="str">
            <v>Excluded</v>
          </cell>
        </row>
        <row r="60">
          <cell r="A60">
            <v>211419</v>
          </cell>
          <cell r="B60">
            <v>1</v>
          </cell>
          <cell r="C60" t="str">
            <v>IN</v>
          </cell>
          <cell r="D60" t="str">
            <v>Art History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O60">
            <v>0</v>
          </cell>
          <cell r="Q60">
            <v>0</v>
          </cell>
          <cell r="R60">
            <v>0</v>
          </cell>
          <cell r="U60">
            <v>0</v>
          </cell>
          <cell r="V60" t="str">
            <v>Excluded</v>
          </cell>
        </row>
        <row r="61">
          <cell r="A61">
            <v>211420</v>
          </cell>
          <cell r="B61">
            <v>1</v>
          </cell>
          <cell r="C61" t="str">
            <v>IN</v>
          </cell>
          <cell r="D61" t="str">
            <v>Graphic Design</v>
          </cell>
          <cell r="E61">
            <v>350299</v>
          </cell>
          <cell r="F61">
            <v>0</v>
          </cell>
          <cell r="G61">
            <v>332861</v>
          </cell>
          <cell r="H61">
            <v>332861</v>
          </cell>
          <cell r="I61">
            <v>7.677746352251066E-3</v>
          </cell>
          <cell r="J61">
            <v>111084.77838434362</v>
          </cell>
          <cell r="O61">
            <v>111084.77838434362</v>
          </cell>
          <cell r="Q61">
            <v>5042</v>
          </cell>
          <cell r="R61">
            <v>466425.7783843436</v>
          </cell>
          <cell r="U61">
            <v>466425.7783843436</v>
          </cell>
          <cell r="V61" t="str">
            <v>Excluded</v>
          </cell>
        </row>
        <row r="62">
          <cell r="A62">
            <v>211421</v>
          </cell>
          <cell r="B62">
            <v>1</v>
          </cell>
          <cell r="C62" t="str">
            <v>IN</v>
          </cell>
          <cell r="D62" t="str">
            <v>Opera Workshop</v>
          </cell>
          <cell r="E62">
            <v>0</v>
          </cell>
          <cell r="F62">
            <v>0</v>
          </cell>
          <cell r="G62">
            <v>1879</v>
          </cell>
          <cell r="H62">
            <v>1879</v>
          </cell>
          <cell r="I62">
            <v>4.3340870200713667E-5</v>
          </cell>
          <cell r="J62">
            <v>627.07345884372648</v>
          </cell>
          <cell r="O62">
            <v>627.07345884372648</v>
          </cell>
          <cell r="Q62">
            <v>0</v>
          </cell>
          <cell r="R62">
            <v>627.07345884372648</v>
          </cell>
          <cell r="U62">
            <v>627.07345884372648</v>
          </cell>
          <cell r="V62" t="str">
            <v>Excluded</v>
          </cell>
        </row>
        <row r="63">
          <cell r="A63">
            <v>211422</v>
          </cell>
          <cell r="B63">
            <v>1</v>
          </cell>
          <cell r="C63" t="str">
            <v>IN</v>
          </cell>
          <cell r="D63" t="str">
            <v>Music Instructional</v>
          </cell>
          <cell r="E63">
            <v>2074029</v>
          </cell>
          <cell r="F63">
            <v>55000</v>
          </cell>
          <cell r="G63">
            <v>2074029</v>
          </cell>
          <cell r="H63">
            <v>2019029</v>
          </cell>
          <cell r="I63">
            <v>4.6570768398337799E-2</v>
          </cell>
          <cell r="J63">
            <v>673804.94866194273</v>
          </cell>
          <cell r="M63">
            <v>17128.757566178305</v>
          </cell>
          <cell r="O63">
            <v>690933.70622812107</v>
          </cell>
          <cell r="Q63">
            <v>18502</v>
          </cell>
          <cell r="R63">
            <v>2783464.7062281212</v>
          </cell>
          <cell r="U63">
            <v>2783464.7062281212</v>
          </cell>
          <cell r="V63" t="str">
            <v>Excluded</v>
          </cell>
        </row>
        <row r="64">
          <cell r="A64">
            <v>211423</v>
          </cell>
          <cell r="B64">
            <v>1</v>
          </cell>
          <cell r="C64" t="str">
            <v>IN</v>
          </cell>
          <cell r="D64" t="str">
            <v>Music Education</v>
          </cell>
          <cell r="E64">
            <v>991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O64">
            <v>0</v>
          </cell>
          <cell r="Q64">
            <v>0</v>
          </cell>
          <cell r="R64">
            <v>991</v>
          </cell>
          <cell r="U64">
            <v>991</v>
          </cell>
          <cell r="V64" t="str">
            <v>Excluded</v>
          </cell>
        </row>
        <row r="65">
          <cell r="A65">
            <v>211424</v>
          </cell>
          <cell r="B65">
            <v>1</v>
          </cell>
          <cell r="C65" t="str">
            <v>IN</v>
          </cell>
          <cell r="D65" t="str">
            <v>Music Therapy</v>
          </cell>
          <cell r="E65">
            <v>1500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O65">
            <v>0</v>
          </cell>
          <cell r="Q65">
            <v>0</v>
          </cell>
          <cell r="R65">
            <v>1500</v>
          </cell>
          <cell r="U65">
            <v>1500</v>
          </cell>
          <cell r="V65" t="str">
            <v>Excluded</v>
          </cell>
        </row>
        <row r="66">
          <cell r="A66">
            <v>211425</v>
          </cell>
          <cell r="B66">
            <v>1</v>
          </cell>
          <cell r="C66" t="str">
            <v>IN</v>
          </cell>
          <cell r="D66" t="str">
            <v>Music Keyboard</v>
          </cell>
          <cell r="E66">
            <v>935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O66">
            <v>0</v>
          </cell>
          <cell r="Q66">
            <v>0</v>
          </cell>
          <cell r="R66">
            <v>935</v>
          </cell>
          <cell r="U66">
            <v>935</v>
          </cell>
          <cell r="V66" t="str">
            <v>Excluded</v>
          </cell>
        </row>
        <row r="67">
          <cell r="A67">
            <v>211426</v>
          </cell>
          <cell r="B67">
            <v>1</v>
          </cell>
          <cell r="C67" t="str">
            <v>IN</v>
          </cell>
          <cell r="D67" t="str">
            <v>Music History</v>
          </cell>
          <cell r="E67">
            <v>919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O67">
            <v>0</v>
          </cell>
          <cell r="Q67">
            <v>0</v>
          </cell>
          <cell r="R67">
            <v>919</v>
          </cell>
          <cell r="U67">
            <v>919</v>
          </cell>
          <cell r="V67" t="str">
            <v>Excluded</v>
          </cell>
        </row>
        <row r="68">
          <cell r="A68">
            <v>211427</v>
          </cell>
          <cell r="B68">
            <v>1</v>
          </cell>
          <cell r="C68" t="str">
            <v>IN</v>
          </cell>
          <cell r="D68" t="str">
            <v>Music Theory &amp; Comp</v>
          </cell>
          <cell r="E68">
            <v>983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O68">
            <v>0</v>
          </cell>
          <cell r="Q68">
            <v>0</v>
          </cell>
          <cell r="R68">
            <v>983</v>
          </cell>
          <cell r="U68">
            <v>983</v>
          </cell>
          <cell r="V68" t="str">
            <v>Excluded</v>
          </cell>
        </row>
        <row r="69">
          <cell r="A69">
            <v>211428</v>
          </cell>
          <cell r="B69">
            <v>1</v>
          </cell>
          <cell r="C69" t="str">
            <v>IN</v>
          </cell>
          <cell r="D69" t="str">
            <v>Theatre Arts &amp; Dance</v>
          </cell>
          <cell r="E69">
            <v>398683</v>
          </cell>
          <cell r="F69">
            <v>0</v>
          </cell>
          <cell r="G69">
            <v>385715</v>
          </cell>
          <cell r="H69">
            <v>385715</v>
          </cell>
          <cell r="I69">
            <v>8.8968726713508639E-3</v>
          </cell>
          <cell r="J69">
            <v>128723.59722081319</v>
          </cell>
          <cell r="O69">
            <v>128723.59722081319</v>
          </cell>
          <cell r="Q69">
            <v>7890</v>
          </cell>
          <cell r="R69">
            <v>535296.59722081316</v>
          </cell>
          <cell r="U69">
            <v>535296.59722081316</v>
          </cell>
          <cell r="V69" t="str">
            <v>Excluded</v>
          </cell>
        </row>
        <row r="70">
          <cell r="A70">
            <v>211429</v>
          </cell>
          <cell r="B70">
            <v>1</v>
          </cell>
          <cell r="C70" t="str">
            <v>IN</v>
          </cell>
          <cell r="D70" t="str">
            <v>Studio Art</v>
          </cell>
          <cell r="E70">
            <v>298698</v>
          </cell>
          <cell r="F70">
            <v>10000</v>
          </cell>
          <cell r="G70">
            <v>286745</v>
          </cell>
          <cell r="H70">
            <v>276745</v>
          </cell>
          <cell r="I70">
            <v>6.3833789907911144E-3</v>
          </cell>
          <cell r="J70">
            <v>92357.34133459664</v>
          </cell>
          <cell r="M70">
            <v>3114.3195574869651</v>
          </cell>
          <cell r="O70">
            <v>95471.660892083601</v>
          </cell>
          <cell r="Q70">
            <v>4369</v>
          </cell>
          <cell r="R70">
            <v>398538.6608920836</v>
          </cell>
          <cell r="U70">
            <v>398538.6608920836</v>
          </cell>
          <cell r="V70" t="str">
            <v>Excluded</v>
          </cell>
        </row>
        <row r="71">
          <cell r="A71">
            <v>211431</v>
          </cell>
          <cell r="B71">
            <v>1</v>
          </cell>
          <cell r="C71" t="str">
            <v>IN</v>
          </cell>
          <cell r="D71" t="str">
            <v>Theatre Production</v>
          </cell>
          <cell r="E71">
            <v>10321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O71">
            <v>0</v>
          </cell>
          <cell r="Q71">
            <v>0</v>
          </cell>
          <cell r="R71">
            <v>10321</v>
          </cell>
          <cell r="U71">
            <v>10321</v>
          </cell>
          <cell r="V71" t="str">
            <v>Excluded</v>
          </cell>
        </row>
        <row r="72">
          <cell r="A72">
            <v>211432</v>
          </cell>
          <cell r="B72">
            <v>1</v>
          </cell>
          <cell r="C72" t="str">
            <v>IN</v>
          </cell>
          <cell r="D72" t="str">
            <v>Choir</v>
          </cell>
          <cell r="E72">
            <v>4915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O72">
            <v>0</v>
          </cell>
          <cell r="Q72">
            <v>0</v>
          </cell>
          <cell r="R72">
            <v>4915</v>
          </cell>
          <cell r="U72">
            <v>4915</v>
          </cell>
          <cell r="V72" t="str">
            <v>Excluded</v>
          </cell>
        </row>
        <row r="73">
          <cell r="A73">
            <v>211433</v>
          </cell>
          <cell r="B73">
            <v>1</v>
          </cell>
          <cell r="C73" t="str">
            <v>IN</v>
          </cell>
          <cell r="D73" t="str">
            <v>Jazz</v>
          </cell>
          <cell r="E73">
            <v>95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O73">
            <v>0</v>
          </cell>
          <cell r="Q73">
            <v>0</v>
          </cell>
          <cell r="R73">
            <v>95</v>
          </cell>
          <cell r="U73">
            <v>95</v>
          </cell>
          <cell r="V73" t="str">
            <v>Excluded</v>
          </cell>
        </row>
        <row r="74">
          <cell r="A74">
            <v>211435</v>
          </cell>
          <cell r="B74">
            <v>1</v>
          </cell>
          <cell r="C74" t="str">
            <v>IN</v>
          </cell>
          <cell r="D74" t="str">
            <v>Film/Music Industry</v>
          </cell>
          <cell r="E74">
            <v>1174656</v>
          </cell>
          <cell r="F74">
            <v>0</v>
          </cell>
          <cell r="G74">
            <v>1133508</v>
          </cell>
          <cell r="H74">
            <v>1133508</v>
          </cell>
          <cell r="I74">
            <v>2.6145408780984859E-2</v>
          </cell>
          <cell r="J74">
            <v>378282.48120651132</v>
          </cell>
          <cell r="O74">
            <v>378282.48120651132</v>
          </cell>
          <cell r="Q74">
            <v>0</v>
          </cell>
          <cell r="R74">
            <v>1552938.4812065114</v>
          </cell>
          <cell r="U74">
            <v>1552938.4812065114</v>
          </cell>
          <cell r="V74" t="str">
            <v>Excluded</v>
          </cell>
        </row>
        <row r="75">
          <cell r="A75">
            <v>211437</v>
          </cell>
          <cell r="B75">
            <v>1</v>
          </cell>
          <cell r="C75" t="str">
            <v>IN</v>
          </cell>
          <cell r="D75" t="str">
            <v>Ballet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O75">
            <v>0</v>
          </cell>
          <cell r="Q75">
            <v>0</v>
          </cell>
          <cell r="R75">
            <v>0</v>
          </cell>
          <cell r="U75">
            <v>0</v>
          </cell>
          <cell r="V75" t="str">
            <v>Excluded</v>
          </cell>
        </row>
        <row r="76">
          <cell r="A76">
            <v>211438</v>
          </cell>
          <cell r="B76">
            <v>1</v>
          </cell>
          <cell r="C76" t="str">
            <v>IN</v>
          </cell>
          <cell r="D76" t="str">
            <v>Band</v>
          </cell>
          <cell r="E76">
            <v>0</v>
          </cell>
          <cell r="F76">
            <v>0</v>
          </cell>
          <cell r="G76">
            <v>600</v>
          </cell>
          <cell r="H76">
            <v>600</v>
          </cell>
          <cell r="I76">
            <v>1.3839554082186377E-5</v>
          </cell>
          <cell r="J76">
            <v>200.23633597990204</v>
          </cell>
          <cell r="O76">
            <v>200.23633597990204</v>
          </cell>
          <cell r="Q76">
            <v>0</v>
          </cell>
          <cell r="R76">
            <v>200.23633597990204</v>
          </cell>
          <cell r="U76">
            <v>200.23633597990204</v>
          </cell>
          <cell r="V76" t="str">
            <v>Excluded</v>
          </cell>
        </row>
        <row r="77">
          <cell r="A77">
            <v>211439</v>
          </cell>
          <cell r="B77">
            <v>1</v>
          </cell>
          <cell r="C77" t="str">
            <v>IN</v>
          </cell>
          <cell r="D77" t="str">
            <v>Orchestra</v>
          </cell>
          <cell r="E77">
            <v>500</v>
          </cell>
          <cell r="F77">
            <v>0</v>
          </cell>
          <cell r="G77">
            <v>2700</v>
          </cell>
          <cell r="H77">
            <v>2700</v>
          </cell>
          <cell r="I77">
            <v>6.2277993369838698E-5</v>
          </cell>
          <cell r="J77">
            <v>901.06351190955922</v>
          </cell>
          <cell r="O77">
            <v>901.06351190955922</v>
          </cell>
          <cell r="Q77">
            <v>0</v>
          </cell>
          <cell r="R77">
            <v>1401.0635119095591</v>
          </cell>
          <cell r="U77">
            <v>1401.0635119095591</v>
          </cell>
          <cell r="V77" t="str">
            <v>Excluded</v>
          </cell>
        </row>
        <row r="78">
          <cell r="A78">
            <v>211440</v>
          </cell>
          <cell r="B78">
            <v>1</v>
          </cell>
          <cell r="C78" t="str">
            <v>IN</v>
          </cell>
          <cell r="D78" t="str">
            <v>School of Music</v>
          </cell>
          <cell r="E78">
            <v>27502</v>
          </cell>
          <cell r="F78">
            <v>0</v>
          </cell>
          <cell r="G78">
            <v>10031</v>
          </cell>
          <cell r="H78">
            <v>10031</v>
          </cell>
          <cell r="I78">
            <v>2.313742783306859E-4</v>
          </cell>
          <cell r="J78">
            <v>3347.6178103573288</v>
          </cell>
          <cell r="O78">
            <v>3347.6178103573288</v>
          </cell>
          <cell r="Q78">
            <v>0</v>
          </cell>
          <cell r="R78">
            <v>30849.617810357329</v>
          </cell>
          <cell r="U78">
            <v>30849.617810357329</v>
          </cell>
          <cell r="V78" t="str">
            <v>Excluded</v>
          </cell>
        </row>
        <row r="79">
          <cell r="A79">
            <v>211441</v>
          </cell>
          <cell r="B79">
            <v>1</v>
          </cell>
          <cell r="C79" t="str">
            <v>IN</v>
          </cell>
          <cell r="D79" t="str">
            <v>Law Instructional</v>
          </cell>
          <cell r="E79">
            <v>4325319</v>
          </cell>
          <cell r="F79">
            <v>160120</v>
          </cell>
          <cell r="G79">
            <v>4325319</v>
          </cell>
          <cell r="H79">
            <v>4165199</v>
          </cell>
          <cell r="I79">
            <v>9.6074161372614361E-2</v>
          </cell>
          <cell r="J79">
            <v>1390040.3106452534</v>
          </cell>
          <cell r="M79">
            <v>49866.48475448128</v>
          </cell>
          <cell r="O79">
            <v>1439906.7953997348</v>
          </cell>
          <cell r="Q79">
            <v>0</v>
          </cell>
          <cell r="R79">
            <v>5765225.7953997348</v>
          </cell>
          <cell r="U79">
            <v>5765225.7953997348</v>
          </cell>
          <cell r="V79" t="str">
            <v>Excluded</v>
          </cell>
        </row>
        <row r="80">
          <cell r="A80">
            <v>211443</v>
          </cell>
          <cell r="B80">
            <v>1</v>
          </cell>
          <cell r="C80" t="str">
            <v>IN</v>
          </cell>
          <cell r="D80" t="str">
            <v>LLM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O80">
            <v>0</v>
          </cell>
          <cell r="Q80">
            <v>0</v>
          </cell>
          <cell r="R80">
            <v>0</v>
          </cell>
          <cell r="U80">
            <v>0</v>
          </cell>
          <cell r="V80" t="str">
            <v>Excluded</v>
          </cell>
        </row>
        <row r="81">
          <cell r="A81">
            <v>211445</v>
          </cell>
          <cell r="B81">
            <v>1</v>
          </cell>
          <cell r="C81" t="str">
            <v>IN</v>
          </cell>
          <cell r="D81" t="str">
            <v>Law Summer Research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O81">
            <v>0</v>
          </cell>
          <cell r="Q81">
            <v>0</v>
          </cell>
          <cell r="R81">
            <v>0</v>
          </cell>
          <cell r="U81">
            <v>0</v>
          </cell>
          <cell r="V81" t="str">
            <v>Excluded</v>
          </cell>
        </row>
        <row r="82">
          <cell r="A82">
            <v>211446</v>
          </cell>
          <cell r="B82">
            <v>1</v>
          </cell>
          <cell r="C82" t="str">
            <v>IN</v>
          </cell>
          <cell r="D82" t="str">
            <v>Continuing Legal Ed</v>
          </cell>
          <cell r="E82">
            <v>183813</v>
          </cell>
          <cell r="F82">
            <v>0</v>
          </cell>
          <cell r="G82">
            <v>101544</v>
          </cell>
          <cell r="H82">
            <v>101544</v>
          </cell>
          <cell r="I82">
            <v>2.3422061328692225E-3</v>
          </cell>
          <cell r="J82">
            <v>33887.99750123862</v>
          </cell>
          <cell r="O82">
            <v>33887.99750123862</v>
          </cell>
          <cell r="Q82">
            <v>178</v>
          </cell>
          <cell r="R82">
            <v>217878.99750123863</v>
          </cell>
          <cell r="U82">
            <v>217878.99750123863</v>
          </cell>
          <cell r="V82" t="str">
            <v>Excluded</v>
          </cell>
        </row>
        <row r="83">
          <cell r="A83">
            <v>211447</v>
          </cell>
          <cell r="B83">
            <v>1</v>
          </cell>
          <cell r="C83" t="str">
            <v>IN</v>
          </cell>
          <cell r="D83" t="str">
            <v>Law Skills</v>
          </cell>
          <cell r="E83">
            <v>8292</v>
          </cell>
          <cell r="F83">
            <v>0</v>
          </cell>
          <cell r="G83">
            <v>-1026</v>
          </cell>
          <cell r="H83">
            <v>-1026</v>
          </cell>
          <cell r="I83">
            <v>-2.3665637480538705E-5</v>
          </cell>
          <cell r="J83">
            <v>-342.40413452563246</v>
          </cell>
          <cell r="O83">
            <v>-342.40413452563246</v>
          </cell>
          <cell r="Q83">
            <v>472</v>
          </cell>
          <cell r="R83">
            <v>8421.5958654743663</v>
          </cell>
          <cell r="U83">
            <v>8421.5958654743663</v>
          </cell>
          <cell r="V83" t="str">
            <v>Excluded</v>
          </cell>
        </row>
        <row r="84">
          <cell r="A84">
            <v>211477</v>
          </cell>
          <cell r="B84">
            <v>1</v>
          </cell>
          <cell r="C84" t="str">
            <v>IN</v>
          </cell>
          <cell r="D84" t="str">
            <v>Nursing-Off Campus Learning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O84">
            <v>0</v>
          </cell>
          <cell r="Q84">
            <v>0</v>
          </cell>
          <cell r="R84">
            <v>0</v>
          </cell>
          <cell r="U84">
            <v>0</v>
          </cell>
          <cell r="V84" t="str">
            <v>Excluded</v>
          </cell>
        </row>
        <row r="85">
          <cell r="A85">
            <v>211540</v>
          </cell>
          <cell r="B85">
            <v>1</v>
          </cell>
          <cell r="C85" t="str">
            <v>IN</v>
          </cell>
          <cell r="D85" t="str">
            <v>Summer Bridge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O85">
            <v>0</v>
          </cell>
          <cell r="Q85">
            <v>0</v>
          </cell>
          <cell r="R85">
            <v>0</v>
          </cell>
          <cell r="U85">
            <v>0</v>
          </cell>
          <cell r="V85" t="str">
            <v>Excluded</v>
          </cell>
        </row>
        <row r="86">
          <cell r="A86">
            <v>211563</v>
          </cell>
          <cell r="B86">
            <v>1</v>
          </cell>
          <cell r="C86" t="str">
            <v>IN</v>
          </cell>
          <cell r="D86" t="str">
            <v>Service Learning Center</v>
          </cell>
          <cell r="E86">
            <v>61857</v>
          </cell>
          <cell r="F86">
            <v>0</v>
          </cell>
          <cell r="G86">
            <v>59758</v>
          </cell>
          <cell r="H86">
            <v>59758</v>
          </cell>
          <cell r="I86">
            <v>1.3783734547388226E-3</v>
          </cell>
          <cell r="J86">
            <v>19942.871609144975</v>
          </cell>
          <cell r="O86">
            <v>19942.871609144975</v>
          </cell>
          <cell r="Q86">
            <v>14153</v>
          </cell>
          <cell r="R86">
            <v>95952.871609144975</v>
          </cell>
          <cell r="U86">
            <v>95952.871609144975</v>
          </cell>
          <cell r="V86" t="str">
            <v>Undergrad</v>
          </cell>
        </row>
        <row r="87">
          <cell r="A87">
            <v>211900</v>
          </cell>
          <cell r="B87">
            <v>1</v>
          </cell>
          <cell r="C87" t="str">
            <v>IN</v>
          </cell>
          <cell r="D87" t="str">
            <v>PO Liquidation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O87">
            <v>0</v>
          </cell>
          <cell r="Q87">
            <v>0</v>
          </cell>
          <cell r="R87">
            <v>0</v>
          </cell>
          <cell r="U87">
            <v>0</v>
          </cell>
          <cell r="V87" t="str">
            <v>Excluded</v>
          </cell>
        </row>
        <row r="88">
          <cell r="A88">
            <v>213480</v>
          </cell>
          <cell r="B88">
            <v>1</v>
          </cell>
          <cell r="C88" t="str">
            <v>IN</v>
          </cell>
          <cell r="D88" t="str">
            <v>Dean-Graduate/Prof</v>
          </cell>
          <cell r="E88">
            <v>189730</v>
          </cell>
          <cell r="F88">
            <v>0</v>
          </cell>
          <cell r="G88">
            <v>178690</v>
          </cell>
          <cell r="H88">
            <v>178690</v>
          </cell>
          <cell r="I88">
            <v>4.1216498649098059E-3</v>
          </cell>
          <cell r="J88">
            <v>59633.718127081156</v>
          </cell>
          <cell r="O88">
            <v>59633.718127081156</v>
          </cell>
          <cell r="Q88">
            <v>0</v>
          </cell>
          <cell r="R88">
            <v>249363.71812708117</v>
          </cell>
          <cell r="U88">
            <v>249363.71812708117</v>
          </cell>
          <cell r="V88" t="str">
            <v>Graduates - no law</v>
          </cell>
        </row>
        <row r="89">
          <cell r="A89">
            <v>216234</v>
          </cell>
          <cell r="B89">
            <v>1</v>
          </cell>
          <cell r="C89" t="str">
            <v>IN</v>
          </cell>
          <cell r="D89" t="str">
            <v>Mid. East Peace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O89">
            <v>0</v>
          </cell>
          <cell r="P89" t="str">
            <v xml:space="preserve"> </v>
          </cell>
          <cell r="Q89">
            <v>0</v>
          </cell>
          <cell r="R89">
            <v>0</v>
          </cell>
          <cell r="U89">
            <v>0</v>
          </cell>
          <cell r="V89" t="str">
            <v>Excluded</v>
          </cell>
        </row>
        <row r="90">
          <cell r="C90" t="str">
            <v>IN</v>
          </cell>
          <cell r="D90" t="str">
            <v>Physical Plant Allocation</v>
          </cell>
          <cell r="I90" t="str">
            <v xml:space="preserve"> </v>
          </cell>
          <cell r="P90">
            <v>3526613.3321931656</v>
          </cell>
          <cell r="R90">
            <v>3526613.3321931656</v>
          </cell>
          <cell r="U90">
            <v>3526613.3321931656</v>
          </cell>
          <cell r="V90" t="str">
            <v>Students</v>
          </cell>
        </row>
        <row r="91">
          <cell r="D91" t="str">
            <v>TOTAL</v>
          </cell>
          <cell r="E91">
            <v>24281235.23</v>
          </cell>
          <cell r="F91">
            <v>331705</v>
          </cell>
          <cell r="G91">
            <v>23533799</v>
          </cell>
          <cell r="H91">
            <v>23202094</v>
          </cell>
          <cell r="I91" t="str">
            <v xml:space="preserve"> </v>
          </cell>
          <cell r="J91">
            <v>7504576.8742019022</v>
          </cell>
          <cell r="M91">
            <v>103303.53688162137</v>
          </cell>
          <cell r="O91">
            <v>7719767.8950835243</v>
          </cell>
          <cell r="P91">
            <v>0</v>
          </cell>
          <cell r="Q91">
            <v>93871</v>
          </cell>
          <cell r="R91">
            <v>35621487.45727668</v>
          </cell>
          <cell r="U91">
            <v>35621487.45727668</v>
          </cell>
          <cell r="V91" t="str">
            <v/>
          </cell>
        </row>
        <row r="92">
          <cell r="V92" t="str">
            <v/>
          </cell>
        </row>
        <row r="93">
          <cell r="V93" t="str">
            <v/>
          </cell>
        </row>
        <row r="94">
          <cell r="A94">
            <v>212200</v>
          </cell>
          <cell r="B94">
            <v>2</v>
          </cell>
          <cell r="C94" t="str">
            <v>RE</v>
          </cell>
          <cell r="D94" t="str">
            <v>Grants: Course / Prof Dev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O94">
            <v>0</v>
          </cell>
          <cell r="R94">
            <v>0</v>
          </cell>
          <cell r="U94">
            <v>0</v>
          </cell>
          <cell r="V94" t="str">
            <v>Faculty</v>
          </cell>
        </row>
        <row r="95">
          <cell r="A95">
            <v>212201</v>
          </cell>
          <cell r="B95">
            <v>2</v>
          </cell>
          <cell r="C95" t="str">
            <v>RE</v>
          </cell>
          <cell r="D95" t="str">
            <v>Grants: Faculty Research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O95">
            <v>0</v>
          </cell>
          <cell r="R95">
            <v>0</v>
          </cell>
          <cell r="U95">
            <v>0</v>
          </cell>
          <cell r="V95" t="str">
            <v>Faculty</v>
          </cell>
        </row>
        <row r="96">
          <cell r="A96">
            <v>212202</v>
          </cell>
          <cell r="B96">
            <v>2</v>
          </cell>
          <cell r="C96" t="str">
            <v>RE</v>
          </cell>
          <cell r="D96" t="str">
            <v>Marquette Fellows</v>
          </cell>
          <cell r="E96">
            <v>50180</v>
          </cell>
          <cell r="F96">
            <v>0</v>
          </cell>
          <cell r="G96">
            <v>50180</v>
          </cell>
          <cell r="H96">
            <v>50180</v>
          </cell>
          <cell r="I96">
            <v>1.1574480397401872E-3</v>
          </cell>
          <cell r="J96">
            <v>16746.432232452473</v>
          </cell>
          <cell r="O96">
            <v>16746.432232452473</v>
          </cell>
          <cell r="R96">
            <v>66926.432232452469</v>
          </cell>
          <cell r="U96">
            <v>66926.432232452469</v>
          </cell>
          <cell r="V96" t="str">
            <v>Faculty</v>
          </cell>
        </row>
        <row r="97">
          <cell r="A97">
            <v>212206</v>
          </cell>
          <cell r="B97">
            <v>2</v>
          </cell>
          <cell r="C97" t="str">
            <v>RE</v>
          </cell>
          <cell r="D97" t="str">
            <v>Grants: Research Office</v>
          </cell>
          <cell r="E97">
            <v>115016</v>
          </cell>
          <cell r="F97">
            <v>0</v>
          </cell>
          <cell r="G97">
            <v>103492</v>
          </cell>
          <cell r="H97">
            <v>103492</v>
          </cell>
          <cell r="I97">
            <v>2.3871385517893876E-3</v>
          </cell>
          <cell r="J97">
            <v>34538.098138720037</v>
          </cell>
          <cell r="O97">
            <v>34538.098138720037</v>
          </cell>
          <cell r="P97">
            <v>0</v>
          </cell>
          <cell r="Q97">
            <v>1044</v>
          </cell>
          <cell r="R97">
            <v>150598.09813872003</v>
          </cell>
          <cell r="U97">
            <v>150598.09813872003</v>
          </cell>
          <cell r="V97" t="str">
            <v>Faculty</v>
          </cell>
        </row>
        <row r="98">
          <cell r="C98" t="str">
            <v>RE</v>
          </cell>
          <cell r="D98" t="str">
            <v>Physical Plant Allocation</v>
          </cell>
          <cell r="P98">
            <v>5338.150391537657</v>
          </cell>
          <cell r="R98">
            <v>5338.150391537657</v>
          </cell>
          <cell r="U98">
            <v>5338.150391537657</v>
          </cell>
          <cell r="V98" t="str">
            <v>Faculty</v>
          </cell>
        </row>
        <row r="99">
          <cell r="D99" t="str">
            <v>TOTAL</v>
          </cell>
          <cell r="E99">
            <v>165196</v>
          </cell>
          <cell r="F99">
            <v>0</v>
          </cell>
          <cell r="G99">
            <v>153672</v>
          </cell>
          <cell r="H99">
            <v>153672</v>
          </cell>
          <cell r="J99">
            <v>51284.530371172514</v>
          </cell>
          <cell r="M99">
            <v>0</v>
          </cell>
          <cell r="O99">
            <v>51284.530371172514</v>
          </cell>
          <cell r="P99">
            <v>0</v>
          </cell>
          <cell r="Q99">
            <v>1044</v>
          </cell>
          <cell r="R99">
            <v>222862.68076271017</v>
          </cell>
          <cell r="U99">
            <v>222862.68076271017</v>
          </cell>
          <cell r="V99" t="str">
            <v/>
          </cell>
        </row>
        <row r="100">
          <cell r="V100" t="str">
            <v/>
          </cell>
        </row>
        <row r="101">
          <cell r="V101" t="str">
            <v/>
          </cell>
        </row>
        <row r="102">
          <cell r="G102">
            <v>0</v>
          </cell>
          <cell r="V102" t="str">
            <v/>
          </cell>
        </row>
        <row r="103">
          <cell r="A103">
            <v>212020</v>
          </cell>
          <cell r="B103">
            <v>3</v>
          </cell>
          <cell r="C103" t="str">
            <v>PS</v>
          </cell>
          <cell r="D103" t="str">
            <v>Twomey Center</v>
          </cell>
          <cell r="E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O103">
            <v>0</v>
          </cell>
          <cell r="Q103">
            <v>0</v>
          </cell>
          <cell r="R103">
            <v>0</v>
          </cell>
          <cell r="U103">
            <v>0</v>
          </cell>
          <cell r="V103" t="str">
            <v>Excluded</v>
          </cell>
        </row>
        <row r="104">
          <cell r="A104">
            <v>212050</v>
          </cell>
          <cell r="B104">
            <v>3</v>
          </cell>
          <cell r="C104" t="str">
            <v>PS</v>
          </cell>
          <cell r="D104" t="str">
            <v>Common Good</v>
          </cell>
          <cell r="E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O104">
            <v>0</v>
          </cell>
          <cell r="Q104">
            <v>0</v>
          </cell>
          <cell r="R104">
            <v>0</v>
          </cell>
          <cell r="U104">
            <v>0</v>
          </cell>
          <cell r="V104" t="str">
            <v>Excluded</v>
          </cell>
        </row>
        <row r="105">
          <cell r="A105">
            <v>212055</v>
          </cell>
          <cell r="B105">
            <v>3</v>
          </cell>
          <cell r="C105" t="str">
            <v>PS</v>
          </cell>
          <cell r="D105" t="str">
            <v>BOGGS Literacy Center</v>
          </cell>
          <cell r="E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O105">
            <v>0</v>
          </cell>
          <cell r="Q105">
            <v>0</v>
          </cell>
          <cell r="R105">
            <v>0</v>
          </cell>
          <cell r="U105">
            <v>0</v>
          </cell>
          <cell r="V105" t="str">
            <v>Excluded</v>
          </cell>
        </row>
        <row r="106">
          <cell r="A106">
            <v>212404</v>
          </cell>
          <cell r="B106">
            <v>3</v>
          </cell>
          <cell r="C106" t="str">
            <v>PS</v>
          </cell>
          <cell r="D106" t="str">
            <v>SBDC Local Match</v>
          </cell>
          <cell r="E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O106">
            <v>0</v>
          </cell>
          <cell r="R106">
            <v>0</v>
          </cell>
          <cell r="U106">
            <v>0</v>
          </cell>
          <cell r="V106" t="str">
            <v>Excluded</v>
          </cell>
        </row>
        <row r="107">
          <cell r="A107">
            <v>212444</v>
          </cell>
          <cell r="B107">
            <v>3</v>
          </cell>
          <cell r="C107" t="str">
            <v>PS</v>
          </cell>
          <cell r="D107" t="str">
            <v>Law Clinic</v>
          </cell>
          <cell r="E107">
            <v>823116</v>
          </cell>
          <cell r="G107">
            <v>807488</v>
          </cell>
          <cell r="H107">
            <v>807488</v>
          </cell>
          <cell r="I107">
            <v>1.8625456411194188E-2</v>
          </cell>
          <cell r="J107">
            <v>269480.73077956523</v>
          </cell>
          <cell r="O107">
            <v>269480.73077956523</v>
          </cell>
          <cell r="Q107">
            <v>4562</v>
          </cell>
          <cell r="R107">
            <v>1097158.7307795652</v>
          </cell>
          <cell r="U107">
            <v>1097158.7307795652</v>
          </cell>
          <cell r="V107" t="str">
            <v>Excluded - LAW CLINIC</v>
          </cell>
        </row>
        <row r="108">
          <cell r="A108">
            <v>212531</v>
          </cell>
          <cell r="B108">
            <v>3</v>
          </cell>
          <cell r="C108" t="str">
            <v>PS</v>
          </cell>
          <cell r="D108" t="str">
            <v>Yamauchi Lecture</v>
          </cell>
          <cell r="E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O108">
            <v>0</v>
          </cell>
          <cell r="R108">
            <v>0</v>
          </cell>
          <cell r="U108">
            <v>0</v>
          </cell>
          <cell r="V108" t="str">
            <v>Excluded</v>
          </cell>
        </row>
        <row r="109">
          <cell r="A109">
            <v>212535</v>
          </cell>
          <cell r="B109">
            <v>3</v>
          </cell>
          <cell r="C109" t="str">
            <v>PS</v>
          </cell>
          <cell r="D109" t="str">
            <v>Biever Guest Lecturer</v>
          </cell>
          <cell r="E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O109">
            <v>0</v>
          </cell>
          <cell r="P109" t="str">
            <v xml:space="preserve"> </v>
          </cell>
          <cell r="R109">
            <v>0</v>
          </cell>
          <cell r="U109">
            <v>0</v>
          </cell>
          <cell r="V109" t="str">
            <v>Excluded</v>
          </cell>
        </row>
        <row r="110">
          <cell r="C110" t="str">
            <v>PS</v>
          </cell>
          <cell r="D110" t="str">
            <v>Physical Plant Allocation</v>
          </cell>
          <cell r="P110">
            <v>159040.05638122078</v>
          </cell>
          <cell r="R110">
            <v>159040.05638122078</v>
          </cell>
          <cell r="U110">
            <v>159040.05638122078</v>
          </cell>
          <cell r="V110" t="str">
            <v>Students</v>
          </cell>
        </row>
        <row r="111">
          <cell r="D111" t="str">
            <v>TOTAL</v>
          </cell>
          <cell r="E111">
            <v>823116</v>
          </cell>
          <cell r="F111">
            <v>0</v>
          </cell>
          <cell r="G111">
            <v>807488</v>
          </cell>
          <cell r="H111">
            <v>807488</v>
          </cell>
          <cell r="J111">
            <v>269480.73077956523</v>
          </cell>
          <cell r="M111">
            <v>0</v>
          </cell>
          <cell r="O111">
            <v>269480.73077956523</v>
          </cell>
          <cell r="P111">
            <v>0</v>
          </cell>
          <cell r="Q111">
            <v>4562</v>
          </cell>
          <cell r="R111">
            <v>1256198.7871607859</v>
          </cell>
          <cell r="U111">
            <v>1256198.7871607859</v>
          </cell>
          <cell r="V111" t="str">
            <v/>
          </cell>
        </row>
        <row r="112">
          <cell r="V112" t="str">
            <v/>
          </cell>
        </row>
        <row r="113">
          <cell r="V113" t="str">
            <v/>
          </cell>
        </row>
        <row r="114">
          <cell r="A114">
            <v>211335</v>
          </cell>
          <cell r="B114">
            <v>4</v>
          </cell>
          <cell r="C114" t="str">
            <v>AS</v>
          </cell>
          <cell r="D114" t="str">
            <v>Walker Percy Writing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O114">
            <v>0</v>
          </cell>
          <cell r="Q114">
            <v>0</v>
          </cell>
          <cell r="R114">
            <v>0</v>
          </cell>
          <cell r="U114">
            <v>0</v>
          </cell>
          <cell r="V114" t="str">
            <v>Excluded</v>
          </cell>
        </row>
        <row r="115">
          <cell r="A115">
            <v>213207</v>
          </cell>
          <cell r="B115">
            <v>4</v>
          </cell>
          <cell r="C115" t="str">
            <v>AS</v>
          </cell>
          <cell r="D115" t="str">
            <v>Women's Resource Center</v>
          </cell>
          <cell r="E115">
            <v>59436</v>
          </cell>
          <cell r="F115">
            <v>0</v>
          </cell>
          <cell r="G115">
            <v>51890</v>
          </cell>
          <cell r="H115">
            <v>51890</v>
          </cell>
          <cell r="I115">
            <v>1.1968907688744185E-3</v>
          </cell>
          <cell r="J115">
            <v>17317.105789995196</v>
          </cell>
          <cell r="O115">
            <v>17317.105789995196</v>
          </cell>
          <cell r="Q115">
            <v>13091</v>
          </cell>
          <cell r="R115">
            <v>89844.105789995199</v>
          </cell>
          <cell r="U115">
            <v>89844.105789995199</v>
          </cell>
          <cell r="V115" t="str">
            <v>Students</v>
          </cell>
        </row>
        <row r="116">
          <cell r="A116">
            <v>213211</v>
          </cell>
          <cell r="B116">
            <v>4</v>
          </cell>
          <cell r="C116" t="str">
            <v>AS</v>
          </cell>
          <cell r="D116" t="str">
            <v>Film Buffs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O116">
            <v>0</v>
          </cell>
          <cell r="Q116">
            <v>0</v>
          </cell>
          <cell r="R116">
            <v>0</v>
          </cell>
          <cell r="U116">
            <v>0</v>
          </cell>
          <cell r="V116" t="str">
            <v>Excluded</v>
          </cell>
        </row>
        <row r="117">
          <cell r="A117">
            <v>213220</v>
          </cell>
          <cell r="B117">
            <v>4</v>
          </cell>
          <cell r="C117" t="str">
            <v>AS</v>
          </cell>
          <cell r="D117" t="str">
            <v>Center:Faculty Innovation</v>
          </cell>
          <cell r="E117">
            <v>44608</v>
          </cell>
          <cell r="F117">
            <v>0</v>
          </cell>
          <cell r="G117">
            <v>44608</v>
          </cell>
          <cell r="H117">
            <v>44608</v>
          </cell>
          <cell r="I117">
            <v>1.0289247141636166E-3</v>
          </cell>
          <cell r="J117">
            <v>14886.904125652451</v>
          </cell>
          <cell r="O117">
            <v>14886.904125652451</v>
          </cell>
          <cell r="Q117">
            <v>0</v>
          </cell>
          <cell r="R117">
            <v>59494.904125652451</v>
          </cell>
          <cell r="U117">
            <v>59494.904125652451</v>
          </cell>
          <cell r="V117" t="str">
            <v>Faculty</v>
          </cell>
        </row>
        <row r="118">
          <cell r="A118">
            <v>213250</v>
          </cell>
          <cell r="B118">
            <v>4</v>
          </cell>
          <cell r="C118" t="str">
            <v>AS</v>
          </cell>
          <cell r="D118" t="str">
            <v>Monroe Library</v>
          </cell>
          <cell r="E118">
            <v>1304279</v>
          </cell>
          <cell r="F118">
            <v>0</v>
          </cell>
          <cell r="G118">
            <v>1171111</v>
          </cell>
          <cell r="H118">
            <v>1171111</v>
          </cell>
          <cell r="I118">
            <v>2.7012756701238948E-2</v>
          </cell>
          <cell r="J118">
            <v>390831.62610959838</v>
          </cell>
          <cell r="O118">
            <v>390831.62610959838</v>
          </cell>
          <cell r="Q118">
            <v>24402</v>
          </cell>
          <cell r="R118">
            <v>1719512.6261095984</v>
          </cell>
          <cell r="U118">
            <v>1719512.6261095984</v>
          </cell>
          <cell r="V118" t="str">
            <v>Non-law</v>
          </cell>
        </row>
        <row r="119">
          <cell r="A119">
            <v>213251</v>
          </cell>
          <cell r="B119">
            <v>4</v>
          </cell>
          <cell r="C119" t="str">
            <v>AS</v>
          </cell>
          <cell r="D119" t="str">
            <v>Information Resources</v>
          </cell>
          <cell r="E119">
            <v>494884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O119">
            <v>0</v>
          </cell>
          <cell r="Q119">
            <v>0</v>
          </cell>
          <cell r="R119">
            <v>494884</v>
          </cell>
          <cell r="U119">
            <v>494884</v>
          </cell>
          <cell r="V119" t="str">
            <v>Non-law</v>
          </cell>
        </row>
        <row r="120">
          <cell r="A120">
            <v>213300</v>
          </cell>
          <cell r="B120">
            <v>4</v>
          </cell>
          <cell r="C120" t="str">
            <v>AS</v>
          </cell>
          <cell r="D120" t="str">
            <v>Dean - Humanities &amp; Natural Sci</v>
          </cell>
          <cell r="E120">
            <v>620498</v>
          </cell>
          <cell r="F120">
            <v>0</v>
          </cell>
          <cell r="G120">
            <v>472913</v>
          </cell>
          <cell r="H120">
            <v>472913</v>
          </cell>
          <cell r="I120">
            <v>1.090817506611501E-2</v>
          </cell>
          <cell r="J120">
            <v>157823.94392877235</v>
          </cell>
          <cell r="O120">
            <v>157823.94392877235</v>
          </cell>
          <cell r="Q120">
            <v>1425</v>
          </cell>
          <cell r="R120">
            <v>779746.94392877235</v>
          </cell>
          <cell r="U120">
            <v>779746.94392877235</v>
          </cell>
          <cell r="V120" t="str">
            <v>CAS</v>
          </cell>
        </row>
        <row r="121">
          <cell r="A121">
            <v>213360</v>
          </cell>
          <cell r="B121">
            <v>4</v>
          </cell>
          <cell r="C121" t="str">
            <v>AS</v>
          </cell>
          <cell r="D121" t="str">
            <v>Dean - Social Sciences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O121">
            <v>0</v>
          </cell>
          <cell r="Q121">
            <v>0</v>
          </cell>
          <cell r="R121">
            <v>0</v>
          </cell>
          <cell r="U121">
            <v>0</v>
          </cell>
          <cell r="V121" t="str">
            <v>Excluded</v>
          </cell>
        </row>
        <row r="122">
          <cell r="A122">
            <v>213400</v>
          </cell>
          <cell r="B122">
            <v>4</v>
          </cell>
          <cell r="C122" t="str">
            <v>AS</v>
          </cell>
          <cell r="D122" t="str">
            <v>Dean - Business</v>
          </cell>
          <cell r="E122">
            <v>540257</v>
          </cell>
          <cell r="F122">
            <v>0</v>
          </cell>
          <cell r="G122">
            <v>438147</v>
          </cell>
          <cell r="H122">
            <v>438147</v>
          </cell>
          <cell r="I122">
            <v>1.0106265170746191E-2</v>
          </cell>
          <cell r="J122">
            <v>146221.58316764358</v>
          </cell>
          <cell r="O122">
            <v>146221.58316764358</v>
          </cell>
          <cell r="Q122">
            <v>2677</v>
          </cell>
          <cell r="R122">
            <v>689155.58316764352</v>
          </cell>
          <cell r="U122">
            <v>689155.58316764352</v>
          </cell>
          <cell r="V122" t="str">
            <v>Business</v>
          </cell>
        </row>
        <row r="123">
          <cell r="A123">
            <v>213420</v>
          </cell>
          <cell r="B123">
            <v>4</v>
          </cell>
          <cell r="C123" t="str">
            <v>AS</v>
          </cell>
          <cell r="D123" t="str">
            <v>Dean - Music</v>
          </cell>
          <cell r="E123">
            <v>435965</v>
          </cell>
          <cell r="F123">
            <v>0</v>
          </cell>
          <cell r="G123">
            <v>344737</v>
          </cell>
          <cell r="H123">
            <v>344737</v>
          </cell>
          <cell r="I123">
            <v>7.9516772593844747E-3</v>
          </cell>
          <cell r="J123">
            <v>115048.12292783914</v>
          </cell>
          <cell r="O123">
            <v>115048.12292783914</v>
          </cell>
          <cell r="Q123">
            <v>7231</v>
          </cell>
          <cell r="R123">
            <v>558244.12292783917</v>
          </cell>
          <cell r="U123">
            <v>558244.12292783917</v>
          </cell>
          <cell r="V123" t="str">
            <v>CMFA</v>
          </cell>
        </row>
        <row r="124">
          <cell r="A124">
            <v>213440</v>
          </cell>
          <cell r="B124">
            <v>4</v>
          </cell>
          <cell r="C124" t="str">
            <v>AS</v>
          </cell>
          <cell r="D124" t="str">
            <v>Dean - Law</v>
          </cell>
          <cell r="E124">
            <v>962922</v>
          </cell>
          <cell r="F124">
            <v>0</v>
          </cell>
          <cell r="G124">
            <v>777907</v>
          </cell>
          <cell r="H124">
            <v>777907</v>
          </cell>
          <cell r="I124">
            <v>1.7943143329018928E-2</v>
          </cell>
          <cell r="J124">
            <v>259608.74568852939</v>
          </cell>
          <cell r="O124">
            <v>259608.74568852939</v>
          </cell>
          <cell r="Q124">
            <v>733</v>
          </cell>
          <cell r="R124">
            <v>1223263.7456885295</v>
          </cell>
          <cell r="U124">
            <v>1223263.7456885295</v>
          </cell>
          <cell r="V124" t="str">
            <v>Law</v>
          </cell>
        </row>
        <row r="125">
          <cell r="A125">
            <v>213446</v>
          </cell>
          <cell r="B125">
            <v>4</v>
          </cell>
          <cell r="C125" t="str">
            <v>AS</v>
          </cell>
          <cell r="D125" t="str">
            <v>Law Instructional Resources</v>
          </cell>
          <cell r="E125">
            <v>3750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O125">
            <v>0</v>
          </cell>
          <cell r="Q125">
            <v>0</v>
          </cell>
          <cell r="R125">
            <v>3750</v>
          </cell>
          <cell r="U125">
            <v>3750</v>
          </cell>
          <cell r="V125" t="str">
            <v>Excluded - LAW DIRECT</v>
          </cell>
        </row>
        <row r="126">
          <cell r="A126">
            <v>213460</v>
          </cell>
          <cell r="B126">
            <v>4</v>
          </cell>
          <cell r="C126" t="str">
            <v>AS</v>
          </cell>
          <cell r="D126" t="str">
            <v>Law Library</v>
          </cell>
          <cell r="E126">
            <v>1190157</v>
          </cell>
          <cell r="F126">
            <v>0</v>
          </cell>
          <cell r="G126">
            <v>506413</v>
          </cell>
          <cell r="H126">
            <v>506413</v>
          </cell>
          <cell r="I126">
            <v>1.1680883502370416E-2</v>
          </cell>
          <cell r="J126">
            <v>169003.80602098355</v>
          </cell>
          <cell r="O126">
            <v>169003.80602098355</v>
          </cell>
          <cell r="Q126">
            <v>0</v>
          </cell>
          <cell r="R126">
            <v>1359160.8060209835</v>
          </cell>
          <cell r="U126">
            <v>1359160.8060209835</v>
          </cell>
          <cell r="V126" t="str">
            <v>Law</v>
          </cell>
        </row>
        <row r="127">
          <cell r="A127">
            <v>213463</v>
          </cell>
          <cell r="B127">
            <v>4</v>
          </cell>
          <cell r="C127" t="str">
            <v>AS</v>
          </cell>
          <cell r="D127" t="str">
            <v>Board of Advocates</v>
          </cell>
          <cell r="E127">
            <v>6236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O127">
            <v>0</v>
          </cell>
          <cell r="Q127">
            <v>0</v>
          </cell>
          <cell r="R127">
            <v>6236</v>
          </cell>
          <cell r="U127">
            <v>6236</v>
          </cell>
          <cell r="V127" t="str">
            <v>Law</v>
          </cell>
        </row>
        <row r="128">
          <cell r="A128">
            <v>213464</v>
          </cell>
          <cell r="B128">
            <v>4</v>
          </cell>
          <cell r="C128" t="str">
            <v>AS</v>
          </cell>
          <cell r="D128" t="str">
            <v>Law Moot Court</v>
          </cell>
          <cell r="E128">
            <v>14549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O128">
            <v>0</v>
          </cell>
          <cell r="Q128">
            <v>0</v>
          </cell>
          <cell r="R128">
            <v>14549</v>
          </cell>
          <cell r="U128">
            <v>14549</v>
          </cell>
          <cell r="V128" t="str">
            <v>Law</v>
          </cell>
        </row>
        <row r="129">
          <cell r="A129">
            <v>213465</v>
          </cell>
          <cell r="B129">
            <v>4</v>
          </cell>
          <cell r="C129" t="str">
            <v>AS</v>
          </cell>
          <cell r="D129" t="str">
            <v>Loyola Law Review</v>
          </cell>
          <cell r="E129">
            <v>22449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O129">
            <v>0</v>
          </cell>
          <cell r="Q129">
            <v>0</v>
          </cell>
          <cell r="R129">
            <v>22449</v>
          </cell>
          <cell r="U129">
            <v>22449</v>
          </cell>
          <cell r="V129" t="str">
            <v>Law</v>
          </cell>
        </row>
        <row r="130">
          <cell r="A130">
            <v>213545</v>
          </cell>
          <cell r="B130">
            <v>4</v>
          </cell>
          <cell r="C130" t="str">
            <v>AS</v>
          </cell>
          <cell r="D130" t="str">
            <v>N O Review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O130">
            <v>0</v>
          </cell>
          <cell r="Q130">
            <v>0</v>
          </cell>
          <cell r="R130">
            <v>0</v>
          </cell>
          <cell r="U130">
            <v>0</v>
          </cell>
          <cell r="V130" t="str">
            <v>Excluded</v>
          </cell>
        </row>
        <row r="131">
          <cell r="A131">
            <v>213550</v>
          </cell>
          <cell r="B131">
            <v>4</v>
          </cell>
          <cell r="C131" t="str">
            <v>AS</v>
          </cell>
          <cell r="D131" t="str">
            <v>QEP Implementation</v>
          </cell>
          <cell r="E131">
            <v>39319</v>
          </cell>
          <cell r="F131">
            <v>0</v>
          </cell>
          <cell r="G131">
            <v>33000</v>
          </cell>
          <cell r="H131">
            <v>33000</v>
          </cell>
          <cell r="I131">
            <v>7.6117547452025068E-4</v>
          </cell>
          <cell r="J131">
            <v>11012.998478894611</v>
          </cell>
          <cell r="O131">
            <v>11012.998478894611</v>
          </cell>
          <cell r="Q131">
            <v>0</v>
          </cell>
          <cell r="R131">
            <v>50331.998478894609</v>
          </cell>
          <cell r="U131">
            <v>50331.998478894609</v>
          </cell>
          <cell r="V131" t="str">
            <v>Students</v>
          </cell>
        </row>
        <row r="132">
          <cell r="A132">
            <v>213551</v>
          </cell>
          <cell r="B132">
            <v>4</v>
          </cell>
          <cell r="C132" t="str">
            <v>AS</v>
          </cell>
          <cell r="D132" t="str">
            <v>First Year Exp</v>
          </cell>
          <cell r="E132">
            <v>-2455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O132">
            <v>0</v>
          </cell>
          <cell r="Q132">
            <v>0</v>
          </cell>
          <cell r="R132">
            <v>-2455</v>
          </cell>
          <cell r="U132">
            <v>-2455</v>
          </cell>
          <cell r="V132" t="str">
            <v>Undergrad</v>
          </cell>
        </row>
        <row r="133">
          <cell r="A133">
            <v>213552</v>
          </cell>
          <cell r="B133">
            <v>4</v>
          </cell>
          <cell r="C133" t="str">
            <v>AS</v>
          </cell>
          <cell r="D133" t="str">
            <v>Common Currliculum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O133">
            <v>0</v>
          </cell>
          <cell r="Q133">
            <v>0</v>
          </cell>
          <cell r="R133">
            <v>0</v>
          </cell>
          <cell r="U133">
            <v>0</v>
          </cell>
          <cell r="V133" t="str">
            <v>Faculty</v>
          </cell>
        </row>
        <row r="134">
          <cell r="A134">
            <v>213565</v>
          </cell>
          <cell r="B134">
            <v>4</v>
          </cell>
          <cell r="C134" t="str">
            <v>AS</v>
          </cell>
          <cell r="D134" t="str">
            <v>Prof &amp; Continuing Studies</v>
          </cell>
          <cell r="E134">
            <v>9813</v>
          </cell>
          <cell r="F134">
            <v>0</v>
          </cell>
          <cell r="G134">
            <v>880</v>
          </cell>
          <cell r="H134">
            <v>880</v>
          </cell>
          <cell r="I134">
            <v>2.0298012653873352E-5</v>
          </cell>
          <cell r="J134">
            <v>293.67995943718967</v>
          </cell>
          <cell r="O134">
            <v>293.67995943718967</v>
          </cell>
          <cell r="P134">
            <v>0</v>
          </cell>
          <cell r="Q134">
            <v>0</v>
          </cell>
          <cell r="R134">
            <v>10106.67995943719</v>
          </cell>
          <cell r="U134">
            <v>10106.67995943719</v>
          </cell>
          <cell r="V134" t="str">
            <v>Graduates - no law, nursing, LIM</v>
          </cell>
        </row>
        <row r="135">
          <cell r="C135" t="str">
            <v>AS</v>
          </cell>
          <cell r="D135" t="str">
            <v>Physical Plant Allocation</v>
          </cell>
          <cell r="P135">
            <v>1240021.1609487969</v>
          </cell>
          <cell r="R135">
            <v>1240021.1609487969</v>
          </cell>
          <cell r="U135">
            <v>1240021.1609487969</v>
          </cell>
          <cell r="V135" t="str">
            <v>Students</v>
          </cell>
        </row>
        <row r="136">
          <cell r="D136" t="str">
            <v>TOTAL</v>
          </cell>
          <cell r="E136">
            <v>5746667</v>
          </cell>
          <cell r="F136">
            <v>0</v>
          </cell>
          <cell r="G136">
            <v>3841606</v>
          </cell>
          <cell r="H136">
            <v>3841606</v>
          </cell>
          <cell r="J136">
            <v>1282048.5161973457</v>
          </cell>
          <cell r="M136">
            <v>0</v>
          </cell>
          <cell r="O136">
            <v>1282048.5161973457</v>
          </cell>
          <cell r="P136">
            <v>0</v>
          </cell>
          <cell r="Q136">
            <v>49559</v>
          </cell>
          <cell r="R136">
            <v>8318295.6771461433</v>
          </cell>
          <cell r="U136">
            <v>8318295.6771461433</v>
          </cell>
          <cell r="V136" t="str">
            <v/>
          </cell>
        </row>
        <row r="137">
          <cell r="V137" t="str">
            <v/>
          </cell>
        </row>
        <row r="138">
          <cell r="V138" t="str">
            <v/>
          </cell>
        </row>
        <row r="139">
          <cell r="A139">
            <v>214080</v>
          </cell>
          <cell r="B139">
            <v>5</v>
          </cell>
          <cell r="C139" t="str">
            <v>SS</v>
          </cell>
          <cell r="D139" t="str">
            <v>VP Mission &amp; Ministry</v>
          </cell>
          <cell r="E139">
            <v>128323</v>
          </cell>
          <cell r="F139">
            <v>81600</v>
          </cell>
          <cell r="G139">
            <v>95119</v>
          </cell>
          <cell r="H139">
            <v>13519</v>
          </cell>
          <cell r="I139">
            <v>3.1182821939512939E-4</v>
          </cell>
          <cell r="J139">
            <v>4511.6583768538258</v>
          </cell>
          <cell r="M139">
            <v>25412.847589093632</v>
          </cell>
          <cell r="O139">
            <v>29924.505965947457</v>
          </cell>
          <cell r="Q139">
            <v>0</v>
          </cell>
          <cell r="R139">
            <v>158247.50596594746</v>
          </cell>
          <cell r="U139">
            <v>158247.50596594746</v>
          </cell>
          <cell r="V139" t="str">
            <v>Students</v>
          </cell>
        </row>
        <row r="140">
          <cell r="A140">
            <v>214090</v>
          </cell>
          <cell r="B140">
            <v>5</v>
          </cell>
          <cell r="C140" t="str">
            <v>SS</v>
          </cell>
          <cell r="D140" t="str">
            <v>University Ministry</v>
          </cell>
          <cell r="E140">
            <v>342382</v>
          </cell>
          <cell r="F140">
            <v>42432</v>
          </cell>
          <cell r="G140">
            <v>268321</v>
          </cell>
          <cell r="H140">
            <v>225889</v>
          </cell>
          <cell r="I140">
            <v>5.2103383867849974E-3</v>
          </cell>
          <cell r="J140">
            <v>75385.309496940143</v>
          </cell>
          <cell r="M140">
            <v>13214.68074632869</v>
          </cell>
          <cell r="O140">
            <v>88599.99024326884</v>
          </cell>
          <cell r="Q140">
            <v>7866</v>
          </cell>
          <cell r="R140">
            <v>438847.99024326878</v>
          </cell>
          <cell r="U140">
            <v>438847.99024326878</v>
          </cell>
          <cell r="V140" t="str">
            <v>Students</v>
          </cell>
        </row>
        <row r="141">
          <cell r="A141">
            <v>214091</v>
          </cell>
          <cell r="B141">
            <v>5</v>
          </cell>
          <cell r="C141" t="str">
            <v>SS</v>
          </cell>
          <cell r="D141" t="str">
            <v>Fac &amp; Staff Dev</v>
          </cell>
          <cell r="E141">
            <v>5937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O141">
            <v>0</v>
          </cell>
          <cell r="Q141">
            <v>0</v>
          </cell>
          <cell r="R141">
            <v>5937</v>
          </cell>
          <cell r="U141">
            <v>5937</v>
          </cell>
          <cell r="V141" t="str">
            <v>Students</v>
          </cell>
        </row>
        <row r="142">
          <cell r="A142">
            <v>214092</v>
          </cell>
          <cell r="B142">
            <v>5</v>
          </cell>
          <cell r="C142" t="str">
            <v>SS</v>
          </cell>
          <cell r="D142" t="str">
            <v>Ignacio Volunteers</v>
          </cell>
          <cell r="E142">
            <v>15000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O142">
            <v>0</v>
          </cell>
          <cell r="Q142">
            <v>0</v>
          </cell>
          <cell r="R142">
            <v>15000</v>
          </cell>
          <cell r="U142">
            <v>15000</v>
          </cell>
          <cell r="V142" t="str">
            <v>Students</v>
          </cell>
        </row>
        <row r="143">
          <cell r="A143">
            <v>214094</v>
          </cell>
          <cell r="B143">
            <v>5</v>
          </cell>
          <cell r="C143" t="str">
            <v>SS</v>
          </cell>
          <cell r="D143" t="str">
            <v>Belize Global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O143">
            <v>0</v>
          </cell>
          <cell r="Q143">
            <v>0</v>
          </cell>
          <cell r="R143">
            <v>0</v>
          </cell>
          <cell r="U143">
            <v>0</v>
          </cell>
          <cell r="V143" t="str">
            <v>Students</v>
          </cell>
        </row>
        <row r="144">
          <cell r="A144">
            <v>214095</v>
          </cell>
          <cell r="B144">
            <v>5</v>
          </cell>
          <cell r="C144" t="str">
            <v>SS</v>
          </cell>
          <cell r="D144" t="str">
            <v>Dean Univ Ministry</v>
          </cell>
          <cell r="E144">
            <v>3165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O144">
            <v>0</v>
          </cell>
          <cell r="Q144">
            <v>0</v>
          </cell>
          <cell r="R144">
            <v>3165</v>
          </cell>
          <cell r="U144">
            <v>3165</v>
          </cell>
          <cell r="V144" t="str">
            <v>Students</v>
          </cell>
        </row>
        <row r="145">
          <cell r="A145">
            <v>214213</v>
          </cell>
          <cell r="B145">
            <v>5</v>
          </cell>
          <cell r="C145" t="str">
            <v>SS</v>
          </cell>
          <cell r="D145" t="str">
            <v>Center for Intl Culture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O145">
            <v>0</v>
          </cell>
          <cell r="Q145">
            <v>0</v>
          </cell>
          <cell r="R145">
            <v>0</v>
          </cell>
          <cell r="U145">
            <v>0</v>
          </cell>
          <cell r="V145" t="str">
            <v>Students</v>
          </cell>
        </row>
        <row r="146">
          <cell r="A146">
            <v>214230</v>
          </cell>
          <cell r="B146">
            <v>5</v>
          </cell>
          <cell r="C146" t="str">
            <v>SS</v>
          </cell>
          <cell r="D146" t="str">
            <v>Student Records</v>
          </cell>
          <cell r="E146">
            <v>336197</v>
          </cell>
          <cell r="F146">
            <v>0</v>
          </cell>
          <cell r="G146">
            <v>303776</v>
          </cell>
          <cell r="H146">
            <v>303776</v>
          </cell>
          <cell r="I146">
            <v>7.0068739681170816E-3</v>
          </cell>
          <cell r="J146">
            <v>101378.32199771787</v>
          </cell>
          <cell r="O146">
            <v>101378.32199771787</v>
          </cell>
          <cell r="Q146">
            <v>519</v>
          </cell>
          <cell r="R146">
            <v>438094.32199771784</v>
          </cell>
          <cell r="U146">
            <v>438094.32199771784</v>
          </cell>
          <cell r="V146" t="str">
            <v>Non-law</v>
          </cell>
        </row>
        <row r="147">
          <cell r="A147">
            <v>214240</v>
          </cell>
          <cell r="B147">
            <v>5</v>
          </cell>
          <cell r="C147" t="str">
            <v>SS</v>
          </cell>
          <cell r="D147" t="str">
            <v>Admissions</v>
          </cell>
          <cell r="E147">
            <v>3085457</v>
          </cell>
          <cell r="F147">
            <v>0</v>
          </cell>
          <cell r="G147">
            <v>1065091</v>
          </cell>
          <cell r="H147">
            <v>1065091</v>
          </cell>
          <cell r="I147">
            <v>2.4567307494916618E-2</v>
          </cell>
          <cell r="J147">
            <v>355449.86554194975</v>
          </cell>
          <cell r="O147">
            <v>355449.86554194975</v>
          </cell>
          <cell r="Q147">
            <v>4006</v>
          </cell>
          <cell r="R147">
            <v>3444912.8655419499</v>
          </cell>
          <cell r="U147">
            <v>3444912.8655419499</v>
          </cell>
          <cell r="V147" t="str">
            <v>Non-law</v>
          </cell>
        </row>
        <row r="148">
          <cell r="A148">
            <v>214241</v>
          </cell>
          <cell r="B148">
            <v>5</v>
          </cell>
          <cell r="C148" t="str">
            <v>SS</v>
          </cell>
          <cell r="D148" t="str">
            <v>Student Success Center</v>
          </cell>
          <cell r="E148">
            <v>454864</v>
          </cell>
          <cell r="F148">
            <v>0</v>
          </cell>
          <cell r="G148">
            <v>441118</v>
          </cell>
          <cell r="H148">
            <v>441118</v>
          </cell>
          <cell r="I148">
            <v>1.0174794029376483E-2</v>
          </cell>
          <cell r="J148">
            <v>147213.08675797071</v>
          </cell>
          <cell r="O148">
            <v>147213.08675797071</v>
          </cell>
          <cell r="Q148">
            <v>9841</v>
          </cell>
          <cell r="R148">
            <v>611918.08675797074</v>
          </cell>
          <cell r="U148">
            <v>611918.08675797074</v>
          </cell>
          <cell r="V148" t="str">
            <v>Undergrad</v>
          </cell>
        </row>
        <row r="149">
          <cell r="A149">
            <v>214255</v>
          </cell>
          <cell r="B149">
            <v>5</v>
          </cell>
          <cell r="C149" t="str">
            <v>SS</v>
          </cell>
          <cell r="D149" t="str">
            <v>Financial Aid Office</v>
          </cell>
          <cell r="E149">
            <v>679339</v>
          </cell>
          <cell r="F149">
            <v>0</v>
          </cell>
          <cell r="G149">
            <v>587762</v>
          </cell>
          <cell r="H149">
            <v>587762</v>
          </cell>
          <cell r="I149">
            <v>1.3557273310756715E-2</v>
          </cell>
          <cell r="J149">
            <v>196152.18218036529</v>
          </cell>
          <cell r="O149">
            <v>196152.18218036529</v>
          </cell>
          <cell r="Q149">
            <v>680</v>
          </cell>
          <cell r="R149">
            <v>876171.18218036531</v>
          </cell>
          <cell r="U149">
            <v>876171.18218036531</v>
          </cell>
          <cell r="V149" t="str">
            <v>Students</v>
          </cell>
        </row>
        <row r="150">
          <cell r="A150">
            <v>214442</v>
          </cell>
          <cell r="B150">
            <v>5</v>
          </cell>
          <cell r="C150" t="str">
            <v>SS</v>
          </cell>
          <cell r="D150" t="str">
            <v>Law Admissions</v>
          </cell>
          <cell r="E150">
            <v>333475</v>
          </cell>
          <cell r="F150">
            <v>0</v>
          </cell>
          <cell r="G150">
            <v>216451</v>
          </cell>
          <cell r="H150">
            <v>216451</v>
          </cell>
          <cell r="I150">
            <v>4.992642201072206E-3</v>
          </cell>
          <cell r="J150">
            <v>72235.591931976291</v>
          </cell>
          <cell r="O150">
            <v>72235.591931976291</v>
          </cell>
          <cell r="Q150">
            <v>926</v>
          </cell>
          <cell r="R150">
            <v>406636.59193197626</v>
          </cell>
          <cell r="U150">
            <v>406636.59193197626</v>
          </cell>
          <cell r="V150" t="str">
            <v>Law</v>
          </cell>
        </row>
        <row r="151">
          <cell r="A151">
            <v>214443</v>
          </cell>
          <cell r="B151">
            <v>5</v>
          </cell>
          <cell r="C151" t="str">
            <v>SS</v>
          </cell>
          <cell r="D151" t="str">
            <v>Law Career Services</v>
          </cell>
          <cell r="E151">
            <v>271589</v>
          </cell>
          <cell r="F151">
            <v>0</v>
          </cell>
          <cell r="G151">
            <v>237984</v>
          </cell>
          <cell r="H151">
            <v>237984</v>
          </cell>
          <cell r="I151">
            <v>5.4893207311584044E-3</v>
          </cell>
          <cell r="J151">
            <v>79421.740303068334</v>
          </cell>
          <cell r="O151">
            <v>79421.740303068334</v>
          </cell>
          <cell r="Q151">
            <v>0</v>
          </cell>
          <cell r="R151">
            <v>351010.74030306831</v>
          </cell>
          <cell r="U151">
            <v>351010.74030306831</v>
          </cell>
          <cell r="V151" t="str">
            <v>Law</v>
          </cell>
        </row>
        <row r="152">
          <cell r="A152">
            <v>214447</v>
          </cell>
          <cell r="B152">
            <v>5</v>
          </cell>
          <cell r="C152" t="str">
            <v>SS</v>
          </cell>
          <cell r="D152" t="str">
            <v>Black Law Studies</v>
          </cell>
          <cell r="E152">
            <v>1455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O152">
            <v>0</v>
          </cell>
          <cell r="Q152">
            <v>0</v>
          </cell>
          <cell r="R152">
            <v>1455</v>
          </cell>
          <cell r="U152">
            <v>1455</v>
          </cell>
          <cell r="V152" t="str">
            <v>Law</v>
          </cell>
        </row>
        <row r="153">
          <cell r="A153">
            <v>214530</v>
          </cell>
          <cell r="B153">
            <v>5</v>
          </cell>
          <cell r="C153" t="str">
            <v>SS</v>
          </cell>
          <cell r="D153" t="str">
            <v>Center for Intl' Education</v>
          </cell>
          <cell r="E153">
            <v>214225</v>
          </cell>
          <cell r="F153">
            <v>0</v>
          </cell>
          <cell r="G153">
            <v>202472</v>
          </cell>
          <cell r="H153">
            <v>202472</v>
          </cell>
          <cell r="I153">
            <v>4.6702036568807333E-3</v>
          </cell>
          <cell r="J153">
            <v>67570.419030871199</v>
          </cell>
          <cell r="O153">
            <v>67570.419030871199</v>
          </cell>
          <cell r="Q153">
            <v>1381</v>
          </cell>
          <cell r="R153">
            <v>283176.41903087118</v>
          </cell>
          <cell r="U153">
            <v>283176.41903087118</v>
          </cell>
          <cell r="V153" t="str">
            <v>Students</v>
          </cell>
        </row>
        <row r="154">
          <cell r="A154">
            <v>214605</v>
          </cell>
          <cell r="B154">
            <v>5</v>
          </cell>
          <cell r="C154" t="str">
            <v>SS</v>
          </cell>
          <cell r="D154" t="str">
            <v>Counseling Center</v>
          </cell>
          <cell r="E154">
            <v>248503</v>
          </cell>
          <cell r="F154">
            <v>0</v>
          </cell>
          <cell r="G154">
            <v>232378</v>
          </cell>
          <cell r="H154">
            <v>232378</v>
          </cell>
          <cell r="I154">
            <v>5.360013164183843E-3</v>
          </cell>
          <cell r="J154">
            <v>77550.865470562785</v>
          </cell>
          <cell r="O154">
            <v>77550.865470562785</v>
          </cell>
          <cell r="Q154">
            <v>3134</v>
          </cell>
          <cell r="R154">
            <v>329187.86547056277</v>
          </cell>
          <cell r="U154">
            <v>329187.86547056277</v>
          </cell>
          <cell r="V154" t="str">
            <v>Students</v>
          </cell>
        </row>
        <row r="155">
          <cell r="A155">
            <v>214607</v>
          </cell>
          <cell r="B155">
            <v>5</v>
          </cell>
          <cell r="C155" t="str">
            <v>SS</v>
          </cell>
          <cell r="D155" t="str">
            <v>Career Services</v>
          </cell>
          <cell r="E155">
            <v>104104</v>
          </cell>
          <cell r="F155">
            <v>0</v>
          </cell>
          <cell r="G155">
            <v>104104</v>
          </cell>
          <cell r="H155">
            <v>104104</v>
          </cell>
          <cell r="I155">
            <v>2.4012548969532177E-3</v>
          </cell>
          <cell r="J155">
            <v>34742.339201419534</v>
          </cell>
          <cell r="O155">
            <v>34742.339201419534</v>
          </cell>
          <cell r="Q155">
            <v>0</v>
          </cell>
          <cell r="R155">
            <v>138846.33920141953</v>
          </cell>
          <cell r="U155">
            <v>138846.33920141953</v>
          </cell>
          <cell r="V155" t="str">
            <v>Undergrad</v>
          </cell>
        </row>
        <row r="156">
          <cell r="A156">
            <v>214610</v>
          </cell>
          <cell r="B156">
            <v>5</v>
          </cell>
          <cell r="C156" t="str">
            <v>SS</v>
          </cell>
          <cell r="D156" t="str">
            <v>CoCurricular Programs</v>
          </cell>
          <cell r="E156">
            <v>259972</v>
          </cell>
          <cell r="F156">
            <v>0</v>
          </cell>
          <cell r="G156">
            <v>214885</v>
          </cell>
          <cell r="H156">
            <v>214885</v>
          </cell>
          <cell r="I156">
            <v>4.9565209649176994E-3</v>
          </cell>
          <cell r="J156">
            <v>71712.975095068745</v>
          </cell>
          <cell r="O156">
            <v>71712.975095068745</v>
          </cell>
          <cell r="Q156">
            <v>6243</v>
          </cell>
          <cell r="R156">
            <v>337927.97509506874</v>
          </cell>
          <cell r="U156">
            <v>337927.97509506874</v>
          </cell>
          <cell r="V156" t="str">
            <v>Undergrad</v>
          </cell>
        </row>
        <row r="157">
          <cell r="A157">
            <v>214750</v>
          </cell>
          <cell r="B157">
            <v>5</v>
          </cell>
          <cell r="C157" t="str">
            <v>SS</v>
          </cell>
          <cell r="D157" t="str">
            <v>ID Cards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O157">
            <v>0</v>
          </cell>
          <cell r="Q157">
            <v>0</v>
          </cell>
          <cell r="R157">
            <v>0</v>
          </cell>
          <cell r="U157">
            <v>0</v>
          </cell>
          <cell r="V157" t="str">
            <v>Students</v>
          </cell>
        </row>
        <row r="158">
          <cell r="A158">
            <v>214665</v>
          </cell>
          <cell r="B158">
            <v>5</v>
          </cell>
          <cell r="C158" t="str">
            <v>SS</v>
          </cell>
          <cell r="D158" t="str">
            <v>Health Services</v>
          </cell>
          <cell r="E158">
            <v>332192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O158">
            <v>0</v>
          </cell>
          <cell r="Q158">
            <v>1109</v>
          </cell>
          <cell r="R158">
            <v>333301</v>
          </cell>
          <cell r="U158">
            <v>333301</v>
          </cell>
          <cell r="V158" t="str">
            <v>Students</v>
          </cell>
        </row>
        <row r="159">
          <cell r="A159">
            <v>214726</v>
          </cell>
          <cell r="B159">
            <v>5</v>
          </cell>
          <cell r="C159" t="str">
            <v>SS</v>
          </cell>
          <cell r="D159" t="str">
            <v>Shuttle Service</v>
          </cell>
          <cell r="E159">
            <v>69768</v>
          </cell>
          <cell r="F159">
            <v>0</v>
          </cell>
          <cell r="G159">
            <v>46686</v>
          </cell>
          <cell r="H159">
            <v>46686</v>
          </cell>
          <cell r="I159">
            <v>1.0768557031349219E-3</v>
          </cell>
          <cell r="J159">
            <v>15580.389302596175</v>
          </cell>
          <cell r="O159">
            <v>15580.389302596175</v>
          </cell>
          <cell r="P159">
            <v>0</v>
          </cell>
          <cell r="R159">
            <v>85348.389302596173</v>
          </cell>
          <cell r="U159">
            <v>85348.389302596173</v>
          </cell>
          <cell r="V159" t="str">
            <v>Students</v>
          </cell>
        </row>
        <row r="160">
          <cell r="C160" t="str">
            <v>SS</v>
          </cell>
          <cell r="D160" t="str">
            <v>Physical Plant Allocation</v>
          </cell>
          <cell r="P160">
            <v>586828.1587849668</v>
          </cell>
          <cell r="R160">
            <v>586828.1587849668</v>
          </cell>
          <cell r="U160">
            <v>586828.1587849668</v>
          </cell>
          <cell r="V160" t="str">
            <v>Students</v>
          </cell>
        </row>
        <row r="161">
          <cell r="D161" t="str">
            <v>TOTAL</v>
          </cell>
          <cell r="E161">
            <v>6885947</v>
          </cell>
          <cell r="F161">
            <v>124032</v>
          </cell>
          <cell r="G161">
            <v>4016147</v>
          </cell>
          <cell r="H161">
            <v>3892115</v>
          </cell>
          <cell r="J161">
            <v>1298904.7446873609</v>
          </cell>
          <cell r="M161">
            <v>38627.528335422321</v>
          </cell>
          <cell r="O161">
            <v>1337532.2730227832</v>
          </cell>
          <cell r="P161">
            <v>0</v>
          </cell>
          <cell r="Q161">
            <v>35705</v>
          </cell>
          <cell r="R161">
            <v>8846012.4318077508</v>
          </cell>
          <cell r="U161">
            <v>8846012.4318077508</v>
          </cell>
          <cell r="V161" t="str">
            <v/>
          </cell>
        </row>
        <row r="162">
          <cell r="V162" t="str">
            <v/>
          </cell>
        </row>
        <row r="163">
          <cell r="V163" t="str">
            <v/>
          </cell>
        </row>
        <row r="164">
          <cell r="V164" t="str">
            <v/>
          </cell>
        </row>
        <row r="165">
          <cell r="A165">
            <v>211434</v>
          </cell>
          <cell r="B165">
            <v>6</v>
          </cell>
          <cell r="C165" t="str">
            <v>IS</v>
          </cell>
          <cell r="D165" t="str">
            <v>Dist Univ</v>
          </cell>
          <cell r="E165">
            <v>724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724</v>
          </cell>
          <cell r="U165">
            <v>724</v>
          </cell>
          <cell r="V165" t="str">
            <v>Students</v>
          </cell>
        </row>
        <row r="166">
          <cell r="A166">
            <v>214093</v>
          </cell>
          <cell r="B166">
            <v>6</v>
          </cell>
          <cell r="C166" t="str">
            <v>IS</v>
          </cell>
          <cell r="D166" t="str">
            <v>M&amp;I Programs</v>
          </cell>
          <cell r="E166">
            <v>24248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O166">
            <v>0</v>
          </cell>
          <cell r="R166">
            <v>24248</v>
          </cell>
          <cell r="U166">
            <v>24248</v>
          </cell>
          <cell r="V166" t="str">
            <v>Students</v>
          </cell>
        </row>
        <row r="167">
          <cell r="A167">
            <v>216000</v>
          </cell>
          <cell r="B167">
            <v>6</v>
          </cell>
          <cell r="C167" t="str">
            <v>IS</v>
          </cell>
          <cell r="D167" t="str">
            <v>Office of President</v>
          </cell>
          <cell r="E167">
            <v>629072</v>
          </cell>
          <cell r="F167">
            <v>357256</v>
          </cell>
          <cell r="G167">
            <v>490591</v>
          </cell>
          <cell r="H167">
            <v>133335</v>
          </cell>
          <cell r="I167">
            <v>3.0754949059138676E-3</v>
          </cell>
          <cell r="J167">
            <v>44497.519763133729</v>
          </cell>
          <cell r="M167">
            <v>111260.9347829563</v>
          </cell>
          <cell r="O167">
            <v>155758.45454609004</v>
          </cell>
          <cell r="Q167">
            <v>1480</v>
          </cell>
          <cell r="R167">
            <v>786310.45454608998</v>
          </cell>
          <cell r="U167">
            <v>786310.45454608998</v>
          </cell>
          <cell r="V167" t="str">
            <v>Students</v>
          </cell>
        </row>
        <row r="168">
          <cell r="A168">
            <v>216003</v>
          </cell>
          <cell r="B168">
            <v>6</v>
          </cell>
          <cell r="C168" t="str">
            <v>IS</v>
          </cell>
          <cell r="D168" t="str">
            <v>University Chaplain</v>
          </cell>
          <cell r="E168">
            <v>99</v>
          </cell>
          <cell r="F168">
            <v>0</v>
          </cell>
          <cell r="G168">
            <v>99</v>
          </cell>
          <cell r="H168">
            <v>99</v>
          </cell>
          <cell r="I168">
            <v>2.283526423560752E-6</v>
          </cell>
          <cell r="J168">
            <v>33.038995436683834</v>
          </cell>
          <cell r="O168">
            <v>33.038995436683834</v>
          </cell>
          <cell r="R168">
            <v>132.03899543668382</v>
          </cell>
          <cell r="U168">
            <v>132.03899543668382</v>
          </cell>
          <cell r="V168" t="str">
            <v>Students</v>
          </cell>
        </row>
        <row r="169">
          <cell r="A169">
            <v>216004</v>
          </cell>
          <cell r="B169">
            <v>6</v>
          </cell>
          <cell r="C169" t="str">
            <v>IS</v>
          </cell>
          <cell r="D169" t="str">
            <v>Adm Staff Senate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O169">
            <v>0</v>
          </cell>
          <cell r="R169">
            <v>0</v>
          </cell>
          <cell r="U169">
            <v>0</v>
          </cell>
          <cell r="V169" t="str">
            <v>Students</v>
          </cell>
        </row>
        <row r="170">
          <cell r="A170">
            <v>216008</v>
          </cell>
          <cell r="B170">
            <v>6</v>
          </cell>
          <cell r="C170" t="str">
            <v>IS</v>
          </cell>
          <cell r="D170" t="str">
            <v>General Counsel</v>
          </cell>
          <cell r="E170">
            <v>307076</v>
          </cell>
          <cell r="F170">
            <v>0</v>
          </cell>
          <cell r="G170">
            <v>99286</v>
          </cell>
          <cell r="H170">
            <v>99286</v>
          </cell>
          <cell r="I170">
            <v>2.2901232776732609E-3</v>
          </cell>
          <cell r="J170">
            <v>33134.441423500917</v>
          </cell>
          <cell r="O170">
            <v>33134.441423500917</v>
          </cell>
          <cell r="R170">
            <v>340210.44142350089</v>
          </cell>
          <cell r="U170">
            <v>340210.44142350089</v>
          </cell>
          <cell r="V170" t="str">
            <v>Students</v>
          </cell>
        </row>
        <row r="171">
          <cell r="A171">
            <v>216009</v>
          </cell>
          <cell r="B171">
            <v>6</v>
          </cell>
          <cell r="C171" t="str">
            <v>IS</v>
          </cell>
          <cell r="D171" t="str">
            <v>Diversity/Inclusion</v>
          </cell>
          <cell r="E171">
            <v>141144</v>
          </cell>
          <cell r="F171">
            <v>0</v>
          </cell>
          <cell r="G171">
            <v>106886</v>
          </cell>
          <cell r="H171">
            <v>106886</v>
          </cell>
          <cell r="I171">
            <v>2.4654242960476217E-3</v>
          </cell>
          <cell r="J171">
            <v>35670.768345913013</v>
          </cell>
          <cell r="O171">
            <v>35670.768345913013</v>
          </cell>
          <cell r="Q171">
            <v>1128</v>
          </cell>
          <cell r="R171">
            <v>177942.76834591301</v>
          </cell>
          <cell r="U171">
            <v>177942.76834591301</v>
          </cell>
          <cell r="V171" t="str">
            <v>Students</v>
          </cell>
        </row>
        <row r="172">
          <cell r="A172">
            <v>216010</v>
          </cell>
          <cell r="B172">
            <v>6</v>
          </cell>
          <cell r="C172" t="str">
            <v>IS</v>
          </cell>
          <cell r="D172" t="str">
            <v>Academic Ombudsperson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O172">
            <v>0</v>
          </cell>
          <cell r="R172">
            <v>0</v>
          </cell>
          <cell r="U172">
            <v>0</v>
          </cell>
          <cell r="V172" t="str">
            <v>Students</v>
          </cell>
        </row>
        <row r="173">
          <cell r="A173">
            <v>216020</v>
          </cell>
          <cell r="B173">
            <v>6</v>
          </cell>
          <cell r="C173" t="str">
            <v>IS</v>
          </cell>
          <cell r="D173" t="str">
            <v>Searches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O173">
            <v>0</v>
          </cell>
          <cell r="R173">
            <v>0</v>
          </cell>
          <cell r="U173">
            <v>0</v>
          </cell>
          <cell r="V173" t="str">
            <v>Students</v>
          </cell>
        </row>
        <row r="174">
          <cell r="A174">
            <v>216025</v>
          </cell>
          <cell r="B174">
            <v>6</v>
          </cell>
          <cell r="C174" t="str">
            <v>IS</v>
          </cell>
          <cell r="D174" t="str">
            <v>LAICU</v>
          </cell>
          <cell r="E174">
            <v>37216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O174">
            <v>0</v>
          </cell>
          <cell r="R174">
            <v>37216</v>
          </cell>
          <cell r="U174">
            <v>37216</v>
          </cell>
          <cell r="V174" t="str">
            <v>Students</v>
          </cell>
        </row>
        <row r="175">
          <cell r="A175">
            <v>216050</v>
          </cell>
          <cell r="B175">
            <v>6</v>
          </cell>
          <cell r="C175" t="str">
            <v>IS</v>
          </cell>
          <cell r="D175" t="str">
            <v>Board of Trustees</v>
          </cell>
          <cell r="E175">
            <v>263743</v>
          </cell>
          <cell r="F175">
            <v>0</v>
          </cell>
          <cell r="G175">
            <v>150</v>
          </cell>
          <cell r="H175">
            <v>150</v>
          </cell>
          <cell r="I175">
            <v>3.4598885205465941E-6</v>
          </cell>
          <cell r="J175">
            <v>50.059083994975509</v>
          </cell>
          <cell r="O175">
            <v>50.059083994975509</v>
          </cell>
          <cell r="R175">
            <v>263793.059083995</v>
          </cell>
          <cell r="U175">
            <v>263793.059083995</v>
          </cell>
          <cell r="V175" t="str">
            <v>Students</v>
          </cell>
        </row>
        <row r="176">
          <cell r="A176">
            <v>216060</v>
          </cell>
          <cell r="B176">
            <v>6</v>
          </cell>
          <cell r="C176" t="str">
            <v>IS</v>
          </cell>
          <cell r="D176" t="str">
            <v>Internal Auditor</v>
          </cell>
          <cell r="E176">
            <v>94770</v>
          </cell>
          <cell r="F176">
            <v>0</v>
          </cell>
          <cell r="G176">
            <v>56363</v>
          </cell>
          <cell r="H176">
            <v>56363</v>
          </cell>
          <cell r="I176">
            <v>1.3000646445571178E-3</v>
          </cell>
          <cell r="J176">
            <v>18809.867674725363</v>
          </cell>
          <cell r="O176">
            <v>18809.867674725363</v>
          </cell>
          <cell r="R176">
            <v>113579.86767472536</v>
          </cell>
          <cell r="U176">
            <v>113579.86767472536</v>
          </cell>
          <cell r="V176" t="str">
            <v>Students</v>
          </cell>
        </row>
        <row r="177">
          <cell r="A177">
            <v>216070</v>
          </cell>
          <cell r="B177">
            <v>6</v>
          </cell>
          <cell r="C177" t="str">
            <v>IS</v>
          </cell>
          <cell r="D177" t="str">
            <v>Governmental Relations</v>
          </cell>
          <cell r="E177">
            <v>188123</v>
          </cell>
          <cell r="F177">
            <v>0</v>
          </cell>
          <cell r="G177">
            <v>146367</v>
          </cell>
          <cell r="H177">
            <v>146367</v>
          </cell>
          <cell r="I177">
            <v>3.3760900205789556E-3</v>
          </cell>
          <cell r="J177">
            <v>48846.652980617197</v>
          </cell>
          <cell r="O177">
            <v>48846.652980617197</v>
          </cell>
          <cell r="R177">
            <v>236969.65298061719</v>
          </cell>
          <cell r="U177">
            <v>236969.65298061719</v>
          </cell>
          <cell r="V177" t="str">
            <v>Students</v>
          </cell>
        </row>
        <row r="178">
          <cell r="A178">
            <v>216200</v>
          </cell>
          <cell r="B178">
            <v>6</v>
          </cell>
          <cell r="C178" t="str">
            <v>IS</v>
          </cell>
          <cell r="D178" t="str">
            <v>VP Academic Affairs</v>
          </cell>
          <cell r="E178">
            <v>1702859</v>
          </cell>
          <cell r="F178">
            <v>0</v>
          </cell>
          <cell r="G178">
            <v>1133454</v>
          </cell>
          <cell r="H178">
            <v>1133454</v>
          </cell>
          <cell r="I178">
            <v>2.6144163221117463E-2</v>
          </cell>
          <cell r="J178">
            <v>378264.45993627311</v>
          </cell>
          <cell r="O178">
            <v>378264.45993627311</v>
          </cell>
          <cell r="R178">
            <v>2081123.4599362731</v>
          </cell>
          <cell r="U178">
            <v>2081123.4599362731</v>
          </cell>
          <cell r="V178" t="str">
            <v>Students</v>
          </cell>
        </row>
        <row r="179">
          <cell r="A179">
            <v>216202</v>
          </cell>
          <cell r="B179">
            <v>6</v>
          </cell>
          <cell r="C179" t="str">
            <v>IS</v>
          </cell>
          <cell r="D179" t="str">
            <v>Vice Provost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O179">
            <v>0</v>
          </cell>
          <cell r="R179">
            <v>0</v>
          </cell>
          <cell r="U179">
            <v>0</v>
          </cell>
          <cell r="V179" t="str">
            <v>Students</v>
          </cell>
        </row>
        <row r="180">
          <cell r="A180">
            <v>216204</v>
          </cell>
          <cell r="B180">
            <v>6</v>
          </cell>
          <cell r="C180" t="str">
            <v>IS</v>
          </cell>
          <cell r="D180" t="str">
            <v>Vice Provost #2</v>
          </cell>
          <cell r="E180">
            <v>54970</v>
          </cell>
          <cell r="F180">
            <v>0</v>
          </cell>
          <cell r="G180">
            <v>53204</v>
          </cell>
          <cell r="H180">
            <v>53204</v>
          </cell>
          <cell r="I180">
            <v>1.2271993923144067E-3</v>
          </cell>
          <cell r="J180">
            <v>17755.62336579118</v>
          </cell>
          <cell r="O180">
            <v>17755.62336579118</v>
          </cell>
          <cell r="R180">
            <v>72725.62336579118</v>
          </cell>
          <cell r="U180">
            <v>72725.62336579118</v>
          </cell>
          <cell r="V180" t="str">
            <v>Students</v>
          </cell>
        </row>
        <row r="181">
          <cell r="A181">
            <v>216205</v>
          </cell>
          <cell r="B181">
            <v>6</v>
          </cell>
          <cell r="C181" t="str">
            <v>IS</v>
          </cell>
          <cell r="D181" t="str">
            <v>Dist Univ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O181">
            <v>0</v>
          </cell>
          <cell r="R181">
            <v>0</v>
          </cell>
          <cell r="U181">
            <v>0</v>
          </cell>
          <cell r="V181" t="str">
            <v>Students</v>
          </cell>
        </row>
        <row r="182">
          <cell r="A182">
            <v>216209</v>
          </cell>
          <cell r="B182">
            <v>6</v>
          </cell>
          <cell r="C182" t="str">
            <v>IS</v>
          </cell>
          <cell r="D182" t="str">
            <v>Institutional Effectiveness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O182">
            <v>0</v>
          </cell>
          <cell r="R182">
            <v>0</v>
          </cell>
          <cell r="U182">
            <v>0</v>
          </cell>
          <cell r="V182" t="str">
            <v>Students</v>
          </cell>
        </row>
        <row r="183">
          <cell r="A183">
            <v>216210</v>
          </cell>
          <cell r="B183">
            <v>6</v>
          </cell>
          <cell r="C183" t="str">
            <v>IS</v>
          </cell>
          <cell r="D183" t="str">
            <v>SACS Accreditation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O183">
            <v>0</v>
          </cell>
          <cell r="R183">
            <v>0</v>
          </cell>
          <cell r="U183">
            <v>0</v>
          </cell>
          <cell r="V183" t="str">
            <v>Students</v>
          </cell>
        </row>
        <row r="184">
          <cell r="A184">
            <v>216211</v>
          </cell>
          <cell r="B184">
            <v>6</v>
          </cell>
          <cell r="C184" t="str">
            <v>IS</v>
          </cell>
          <cell r="D184" t="str">
            <v>Diversity Committee</v>
          </cell>
          <cell r="E184">
            <v>6445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O184">
            <v>0</v>
          </cell>
          <cell r="R184">
            <v>6445</v>
          </cell>
          <cell r="U184">
            <v>6445</v>
          </cell>
          <cell r="V184" t="str">
            <v>Students</v>
          </cell>
        </row>
        <row r="185">
          <cell r="A185">
            <v>216212</v>
          </cell>
          <cell r="B185">
            <v>6</v>
          </cell>
          <cell r="C185" t="str">
            <v>IS</v>
          </cell>
          <cell r="D185" t="str">
            <v>Commencement</v>
          </cell>
          <cell r="E185">
            <v>287088</v>
          </cell>
          <cell r="F185">
            <v>0</v>
          </cell>
          <cell r="G185">
            <v>5095</v>
          </cell>
          <cell r="H185">
            <v>5095</v>
          </cell>
          <cell r="I185">
            <v>1.1752088008123265E-4</v>
          </cell>
          <cell r="J185">
            <v>1700.3402196960014</v>
          </cell>
          <cell r="O185">
            <v>1700.3402196960014</v>
          </cell>
          <cell r="R185">
            <v>288788.34021969599</v>
          </cell>
          <cell r="U185">
            <v>288788.34021969599</v>
          </cell>
          <cell r="V185" t="str">
            <v>Students</v>
          </cell>
        </row>
        <row r="186">
          <cell r="A186">
            <v>216215</v>
          </cell>
          <cell r="B186">
            <v>6</v>
          </cell>
          <cell r="C186" t="str">
            <v>IS</v>
          </cell>
          <cell r="D186" t="str">
            <v>University Senate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O186">
            <v>0</v>
          </cell>
          <cell r="R186">
            <v>0</v>
          </cell>
          <cell r="U186">
            <v>0</v>
          </cell>
          <cell r="V186" t="str">
            <v>Students</v>
          </cell>
        </row>
        <row r="187">
          <cell r="A187">
            <v>216220</v>
          </cell>
          <cell r="B187">
            <v>6</v>
          </cell>
          <cell r="C187" t="str">
            <v>IS</v>
          </cell>
          <cell r="D187" t="str">
            <v>Institutional Research</v>
          </cell>
          <cell r="E187">
            <v>337773</v>
          </cell>
          <cell r="F187">
            <v>0</v>
          </cell>
          <cell r="G187">
            <v>302457</v>
          </cell>
          <cell r="H187">
            <v>302457</v>
          </cell>
          <cell r="I187">
            <v>6.9764500150597411E-3</v>
          </cell>
          <cell r="J187">
            <v>100938.13578578871</v>
          </cell>
          <cell r="O187">
            <v>100938.13578578871</v>
          </cell>
          <cell r="Q187">
            <v>258</v>
          </cell>
          <cell r="R187">
            <v>438969.13578578871</v>
          </cell>
          <cell r="U187">
            <v>438969.13578578871</v>
          </cell>
          <cell r="V187" t="str">
            <v>Students</v>
          </cell>
        </row>
        <row r="188">
          <cell r="A188">
            <v>216300</v>
          </cell>
          <cell r="B188">
            <v>6</v>
          </cell>
          <cell r="C188" t="str">
            <v>IS</v>
          </cell>
          <cell r="D188" t="str">
            <v>Chemical Hygiene</v>
          </cell>
          <cell r="E188">
            <v>82837</v>
          </cell>
          <cell r="F188">
            <v>0</v>
          </cell>
          <cell r="G188">
            <v>71675</v>
          </cell>
          <cell r="H188">
            <v>71675</v>
          </cell>
          <cell r="I188">
            <v>1.6532500647345142E-3</v>
          </cell>
          <cell r="J188">
            <v>23919.898968932463</v>
          </cell>
          <cell r="O188">
            <v>23919.898968932463</v>
          </cell>
          <cell r="Q188">
            <v>0</v>
          </cell>
          <cell r="R188">
            <v>106756.89896893247</v>
          </cell>
          <cell r="U188">
            <v>106756.89896893247</v>
          </cell>
          <cell r="V188" t="str">
            <v>Undergrad</v>
          </cell>
        </row>
        <row r="189">
          <cell r="A189">
            <v>216420</v>
          </cell>
          <cell r="B189">
            <v>6</v>
          </cell>
          <cell r="C189" t="str">
            <v>IS</v>
          </cell>
          <cell r="D189" t="str">
            <v>Gallery</v>
          </cell>
          <cell r="E189">
            <v>5653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O189">
            <v>0</v>
          </cell>
          <cell r="Q189">
            <v>0</v>
          </cell>
          <cell r="R189">
            <v>5653</v>
          </cell>
          <cell r="U189">
            <v>5653</v>
          </cell>
          <cell r="V189" t="str">
            <v>Students</v>
          </cell>
        </row>
        <row r="190">
          <cell r="A190">
            <v>216504</v>
          </cell>
          <cell r="B190">
            <v>6</v>
          </cell>
          <cell r="C190" t="str">
            <v>IS</v>
          </cell>
          <cell r="D190" t="str">
            <v>Information Technology</v>
          </cell>
          <cell r="E190">
            <v>333413</v>
          </cell>
          <cell r="F190">
            <v>0</v>
          </cell>
          <cell r="G190">
            <v>333413</v>
          </cell>
          <cell r="H190">
            <v>333413</v>
          </cell>
          <cell r="I190">
            <v>7.6904787420066772E-3</v>
          </cell>
          <cell r="J190">
            <v>111268.99581344513</v>
          </cell>
          <cell r="O190">
            <v>111268.99581344513</v>
          </cell>
          <cell r="Q190">
            <v>5214</v>
          </cell>
          <cell r="R190">
            <v>449895.99581344513</v>
          </cell>
          <cell r="U190">
            <v>449895.99581344513</v>
          </cell>
          <cell r="V190" t="str">
            <v>Students</v>
          </cell>
        </row>
        <row r="191">
          <cell r="A191">
            <v>216505</v>
          </cell>
          <cell r="B191">
            <v>6</v>
          </cell>
          <cell r="C191" t="str">
            <v>IS</v>
          </cell>
          <cell r="D191" t="str">
            <v>IT Client Services</v>
          </cell>
          <cell r="E191">
            <v>443266</v>
          </cell>
          <cell r="F191">
            <v>0</v>
          </cell>
          <cell r="G191">
            <v>424677</v>
          </cell>
          <cell r="H191">
            <v>424677</v>
          </cell>
          <cell r="I191">
            <v>9.7955671816011055E-3</v>
          </cell>
          <cell r="J191">
            <v>141726.27742489474</v>
          </cell>
          <cell r="O191">
            <v>141726.27742489474</v>
          </cell>
          <cell r="Q191">
            <v>0</v>
          </cell>
          <cell r="R191">
            <v>584992.27742489474</v>
          </cell>
          <cell r="U191">
            <v>584992.27742489474</v>
          </cell>
          <cell r="V191" t="str">
            <v>Students</v>
          </cell>
        </row>
        <row r="192">
          <cell r="A192">
            <v>216506</v>
          </cell>
          <cell r="B192">
            <v>6</v>
          </cell>
          <cell r="C192" t="str">
            <v>IS</v>
          </cell>
          <cell r="D192" t="str">
            <v>Computer Programming</v>
          </cell>
          <cell r="E192">
            <v>522170</v>
          </cell>
          <cell r="F192">
            <v>0</v>
          </cell>
          <cell r="G192">
            <v>522170</v>
          </cell>
          <cell r="H192">
            <v>522170</v>
          </cell>
          <cell r="I192">
            <v>1.20443332584921E-2</v>
          </cell>
          <cell r="J192">
            <v>174262.34593104239</v>
          </cell>
          <cell r="O192">
            <v>174262.34593104239</v>
          </cell>
          <cell r="Q192">
            <v>0</v>
          </cell>
          <cell r="R192">
            <v>696432.34593104245</v>
          </cell>
          <cell r="U192">
            <v>696432.34593104245</v>
          </cell>
          <cell r="V192" t="str">
            <v>Students</v>
          </cell>
        </row>
        <row r="193">
          <cell r="A193">
            <v>216507</v>
          </cell>
          <cell r="B193">
            <v>6</v>
          </cell>
          <cell r="C193" t="str">
            <v>IS</v>
          </cell>
          <cell r="D193" t="str">
            <v>Computer Operations</v>
          </cell>
          <cell r="E193">
            <v>651939</v>
          </cell>
          <cell r="F193">
            <v>0</v>
          </cell>
          <cell r="G193">
            <v>264041</v>
          </cell>
          <cell r="H193">
            <v>264041</v>
          </cell>
          <cell r="I193">
            <v>6.0903494990242881E-3</v>
          </cell>
          <cell r="J193">
            <v>88117.670647448846</v>
          </cell>
          <cell r="O193">
            <v>88117.670647448846</v>
          </cell>
          <cell r="Q193">
            <v>0</v>
          </cell>
          <cell r="R193">
            <v>740056.67064744886</v>
          </cell>
          <cell r="T193">
            <v>0</v>
          </cell>
          <cell r="U193">
            <v>740056.67064744886</v>
          </cell>
          <cell r="V193" t="str">
            <v>Students</v>
          </cell>
        </row>
        <row r="194">
          <cell r="A194">
            <v>216536</v>
          </cell>
          <cell r="B194">
            <v>6</v>
          </cell>
          <cell r="C194" t="str">
            <v>IS</v>
          </cell>
          <cell r="D194" t="str">
            <v xml:space="preserve">Telecommunications </v>
          </cell>
          <cell r="E194">
            <v>306577</v>
          </cell>
          <cell r="F194">
            <v>0</v>
          </cell>
          <cell r="G194">
            <v>73330</v>
          </cell>
          <cell r="H194">
            <v>73330</v>
          </cell>
          <cell r="I194">
            <v>1.6914241680778784E-3</v>
          </cell>
          <cell r="J194">
            <v>24472.217529010362</v>
          </cell>
          <cell r="O194">
            <v>24472.217529010362</v>
          </cell>
          <cell r="Q194">
            <v>0</v>
          </cell>
          <cell r="R194">
            <v>331049.21752901038</v>
          </cell>
          <cell r="U194">
            <v>331049.21752901038</v>
          </cell>
          <cell r="V194" t="str">
            <v>Students</v>
          </cell>
        </row>
        <row r="195">
          <cell r="A195">
            <v>216600</v>
          </cell>
          <cell r="B195">
            <v>6</v>
          </cell>
          <cell r="C195" t="str">
            <v>IS</v>
          </cell>
          <cell r="D195" t="str">
            <v>VP Student Affairs</v>
          </cell>
          <cell r="E195">
            <v>462641</v>
          </cell>
          <cell r="F195">
            <v>0</v>
          </cell>
          <cell r="G195">
            <v>435993</v>
          </cell>
          <cell r="H195">
            <v>435993</v>
          </cell>
          <cell r="I195">
            <v>1.0056581171591141E-2</v>
          </cell>
          <cell r="J195">
            <v>145502.73472147569</v>
          </cell>
          <cell r="O195">
            <v>145502.73472147569</v>
          </cell>
          <cell r="Q195">
            <v>0</v>
          </cell>
          <cell r="R195">
            <v>608143.73472147575</v>
          </cell>
          <cell r="U195">
            <v>608143.73472147575</v>
          </cell>
          <cell r="V195" t="str">
            <v>Students</v>
          </cell>
        </row>
        <row r="196">
          <cell r="A196">
            <v>216700</v>
          </cell>
          <cell r="B196">
            <v>6</v>
          </cell>
          <cell r="C196" t="str">
            <v>IS</v>
          </cell>
          <cell r="D196" t="str">
            <v>VP Finance &amp; Adm</v>
          </cell>
          <cell r="E196">
            <v>207826</v>
          </cell>
          <cell r="F196">
            <v>0</v>
          </cell>
          <cell r="G196">
            <v>200542</v>
          </cell>
          <cell r="H196">
            <v>200542</v>
          </cell>
          <cell r="I196">
            <v>4.625686424583034E-3</v>
          </cell>
          <cell r="J196">
            <v>66926.325483469191</v>
          </cell>
          <cell r="O196">
            <v>66926.325483469191</v>
          </cell>
          <cell r="Q196">
            <v>0</v>
          </cell>
          <cell r="R196">
            <v>274752.32548346918</v>
          </cell>
          <cell r="U196">
            <v>274752.32548346918</v>
          </cell>
          <cell r="V196" t="str">
            <v>Students</v>
          </cell>
        </row>
        <row r="197">
          <cell r="A197">
            <v>216703</v>
          </cell>
          <cell r="B197">
            <v>6</v>
          </cell>
          <cell r="C197" t="str">
            <v>IS</v>
          </cell>
          <cell r="D197" t="str">
            <v>Student Account</v>
          </cell>
          <cell r="E197">
            <v>130739</v>
          </cell>
          <cell r="F197">
            <v>0</v>
          </cell>
          <cell r="G197">
            <v>126679</v>
          </cell>
          <cell r="H197">
            <v>126679</v>
          </cell>
          <cell r="I197">
            <v>2.9219681192954798E-3</v>
          </cell>
          <cell r="J197">
            <v>42276.231342663348</v>
          </cell>
          <cell r="O197">
            <v>42276.231342663348</v>
          </cell>
          <cell r="Q197">
            <v>922</v>
          </cell>
          <cell r="R197">
            <v>173937.23134266335</v>
          </cell>
          <cell r="U197">
            <v>173937.23134266335</v>
          </cell>
          <cell r="V197" t="str">
            <v>Students</v>
          </cell>
        </row>
        <row r="198">
          <cell r="A198">
            <v>216704</v>
          </cell>
          <cell r="B198">
            <v>6</v>
          </cell>
          <cell r="C198" t="str">
            <v>IS</v>
          </cell>
          <cell r="D198" t="str">
            <v>Bursar</v>
          </cell>
          <cell r="E198">
            <v>156504</v>
          </cell>
          <cell r="F198">
            <v>0</v>
          </cell>
          <cell r="G198">
            <v>153479</v>
          </cell>
          <cell r="H198">
            <v>153479</v>
          </cell>
          <cell r="I198">
            <v>3.5401348682998048E-3</v>
          </cell>
          <cell r="J198">
            <v>51220.121016432306</v>
          </cell>
          <cell r="O198">
            <v>51220.121016432306</v>
          </cell>
          <cell r="Q198">
            <v>1554</v>
          </cell>
          <cell r="R198">
            <v>209278.1210164323</v>
          </cell>
          <cell r="U198">
            <v>209278.1210164323</v>
          </cell>
          <cell r="V198" t="str">
            <v>Students</v>
          </cell>
        </row>
        <row r="199">
          <cell r="A199">
            <v>216710</v>
          </cell>
          <cell r="B199">
            <v>6</v>
          </cell>
          <cell r="C199" t="str">
            <v>IS</v>
          </cell>
          <cell r="D199" t="str">
            <v>Financial Affairs</v>
          </cell>
          <cell r="E199">
            <v>1045299</v>
          </cell>
          <cell r="F199">
            <v>0</v>
          </cell>
          <cell r="G199">
            <v>228867</v>
          </cell>
          <cell r="H199">
            <v>228867</v>
          </cell>
          <cell r="I199">
            <v>5.2790287068795825E-3</v>
          </cell>
          <cell r="J199">
            <v>76379.149177853731</v>
          </cell>
          <cell r="O199">
            <v>76379.149177853731</v>
          </cell>
          <cell r="Q199">
            <v>521</v>
          </cell>
          <cell r="R199">
            <v>1122199.1491778537</v>
          </cell>
          <cell r="U199">
            <v>1122199.1491778537</v>
          </cell>
          <cell r="V199" t="str">
            <v>Students</v>
          </cell>
        </row>
        <row r="200">
          <cell r="A200">
            <v>216713</v>
          </cell>
          <cell r="B200">
            <v>6</v>
          </cell>
          <cell r="C200" t="str">
            <v>IS</v>
          </cell>
          <cell r="D200" t="str">
            <v>Emergency Mang</v>
          </cell>
          <cell r="E200">
            <v>88151</v>
          </cell>
          <cell r="F200">
            <v>0</v>
          </cell>
          <cell r="G200">
            <v>37911</v>
          </cell>
          <cell r="H200">
            <v>37911</v>
          </cell>
          <cell r="I200">
            <v>8.7445222468294625E-4</v>
          </cell>
          <cell r="J200">
            <v>12651.932888890111</v>
          </cell>
          <cell r="O200">
            <v>12651.932888890111</v>
          </cell>
          <cell r="Q200">
            <v>0</v>
          </cell>
          <cell r="R200">
            <v>100802.93288889011</v>
          </cell>
          <cell r="U200">
            <v>100802.93288889011</v>
          </cell>
          <cell r="V200" t="str">
            <v>Students</v>
          </cell>
        </row>
        <row r="201">
          <cell r="A201">
            <v>216715</v>
          </cell>
          <cell r="B201">
            <v>6</v>
          </cell>
          <cell r="C201" t="str">
            <v>IS</v>
          </cell>
          <cell r="D201" t="str">
            <v>Risk Management</v>
          </cell>
          <cell r="E201">
            <v>2720725</v>
          </cell>
          <cell r="F201">
            <v>0</v>
          </cell>
          <cell r="G201">
            <v>92784</v>
          </cell>
          <cell r="H201">
            <v>92784</v>
          </cell>
          <cell r="I201">
            <v>2.1401486432693012E-3</v>
          </cell>
          <cell r="J201">
            <v>30964.546995932051</v>
          </cell>
          <cell r="O201">
            <v>30964.546995932051</v>
          </cell>
          <cell r="Q201">
            <v>245</v>
          </cell>
          <cell r="R201">
            <v>2751934.5469959322</v>
          </cell>
          <cell r="U201">
            <v>2751934.5469959322</v>
          </cell>
          <cell r="V201" t="str">
            <v>Students</v>
          </cell>
        </row>
        <row r="202">
          <cell r="A202">
            <v>216730</v>
          </cell>
          <cell r="B202">
            <v>6</v>
          </cell>
          <cell r="C202" t="str">
            <v>IS</v>
          </cell>
          <cell r="D202" t="str">
            <v>Human Resources</v>
          </cell>
          <cell r="E202">
            <v>500857</v>
          </cell>
          <cell r="F202">
            <v>0</v>
          </cell>
          <cell r="G202">
            <v>462945</v>
          </cell>
          <cell r="H202">
            <v>462945</v>
          </cell>
          <cell r="I202">
            <v>1.0678253940962954E-2</v>
          </cell>
          <cell r="J202">
            <v>154497.35093369291</v>
          </cell>
          <cell r="O202">
            <v>154497.35093369291</v>
          </cell>
          <cell r="Q202">
            <v>1525</v>
          </cell>
          <cell r="R202">
            <v>656879.35093369288</v>
          </cell>
          <cell r="U202">
            <v>656879.35093369288</v>
          </cell>
          <cell r="V202" t="str">
            <v>Students</v>
          </cell>
        </row>
        <row r="203">
          <cell r="A203">
            <v>216734</v>
          </cell>
          <cell r="B203">
            <v>6</v>
          </cell>
          <cell r="C203" t="str">
            <v>IS</v>
          </cell>
          <cell r="D203" t="str">
            <v>Purchasing</v>
          </cell>
          <cell r="E203">
            <v>141494</v>
          </cell>
          <cell r="F203">
            <v>0</v>
          </cell>
          <cell r="G203">
            <v>133863</v>
          </cell>
          <cell r="H203">
            <v>133863</v>
          </cell>
          <cell r="I203">
            <v>3.0876737135061916E-3</v>
          </cell>
          <cell r="J203">
            <v>44673.727738796042</v>
          </cell>
          <cell r="O203">
            <v>44673.727738796042</v>
          </cell>
          <cell r="Q203">
            <v>1832</v>
          </cell>
          <cell r="R203">
            <v>187999.72773879603</v>
          </cell>
          <cell r="U203">
            <v>187999.72773879603</v>
          </cell>
          <cell r="V203" t="str">
            <v>Students</v>
          </cell>
        </row>
        <row r="204">
          <cell r="A204">
            <v>216738</v>
          </cell>
          <cell r="B204">
            <v>6</v>
          </cell>
          <cell r="C204" t="str">
            <v>IS</v>
          </cell>
          <cell r="D204" t="str">
            <v>University Police</v>
          </cell>
          <cell r="E204">
            <v>1242446</v>
          </cell>
          <cell r="F204">
            <v>0</v>
          </cell>
          <cell r="G204">
            <v>1206916</v>
          </cell>
          <cell r="H204">
            <v>1206916</v>
          </cell>
          <cell r="I204">
            <v>2.783863209109342E-2</v>
          </cell>
          <cell r="J204">
            <v>402780.72945919901</v>
          </cell>
          <cell r="O204">
            <v>402780.72945919901</v>
          </cell>
          <cell r="Q204">
            <v>1245</v>
          </cell>
          <cell r="R204">
            <v>1646471.7294591991</v>
          </cell>
          <cell r="U204">
            <v>1646471.7294591991</v>
          </cell>
          <cell r="V204" t="str">
            <v>Students</v>
          </cell>
        </row>
        <row r="205">
          <cell r="A205">
            <v>216765</v>
          </cell>
          <cell r="B205">
            <v>6</v>
          </cell>
          <cell r="C205" t="str">
            <v>IS</v>
          </cell>
          <cell r="D205" t="str">
            <v>Print Services</v>
          </cell>
          <cell r="E205">
            <v>29074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O205">
            <v>0</v>
          </cell>
          <cell r="Q205">
            <v>0</v>
          </cell>
          <cell r="R205">
            <v>29074</v>
          </cell>
          <cell r="U205">
            <v>29074</v>
          </cell>
          <cell r="V205" t="str">
            <v>Students</v>
          </cell>
        </row>
        <row r="206">
          <cell r="A206">
            <v>216770</v>
          </cell>
          <cell r="B206">
            <v>6</v>
          </cell>
          <cell r="C206" t="str">
            <v>IS</v>
          </cell>
          <cell r="D206" t="str">
            <v>Post Office</v>
          </cell>
          <cell r="E206">
            <v>99716</v>
          </cell>
          <cell r="F206">
            <v>0</v>
          </cell>
          <cell r="G206">
            <v>94097</v>
          </cell>
          <cell r="H206">
            <v>94097</v>
          </cell>
          <cell r="I206">
            <v>2.1704342007858191E-3</v>
          </cell>
          <cell r="J206">
            <v>31402.730844501402</v>
          </cell>
          <cell r="O206">
            <v>31402.730844501402</v>
          </cell>
          <cell r="Q206">
            <v>0</v>
          </cell>
          <cell r="R206">
            <v>131118.73084450141</v>
          </cell>
          <cell r="U206">
            <v>131118.73084450141</v>
          </cell>
          <cell r="V206" t="str">
            <v>Students</v>
          </cell>
        </row>
        <row r="207">
          <cell r="A207">
            <v>216800</v>
          </cell>
          <cell r="B207">
            <v>6</v>
          </cell>
          <cell r="C207" t="str">
            <v>IS</v>
          </cell>
          <cell r="D207" t="str">
            <v>VP Institutional Adv</v>
          </cell>
          <cell r="E207">
            <v>914699</v>
          </cell>
          <cell r="F207">
            <v>0</v>
          </cell>
          <cell r="G207">
            <v>741749</v>
          </cell>
          <cell r="H207">
            <v>741749</v>
          </cell>
          <cell r="I207">
            <v>1.7109125668179438E-2</v>
          </cell>
          <cell r="J207">
            <v>247541.83662792726</v>
          </cell>
          <cell r="M207">
            <v>0</v>
          </cell>
          <cell r="O207">
            <v>247541.83662792726</v>
          </cell>
          <cell r="Q207">
            <v>231</v>
          </cell>
          <cell r="R207">
            <v>1162471.8366279271</v>
          </cell>
          <cell r="U207">
            <v>1162471.8366279271</v>
          </cell>
          <cell r="V207" t="str">
            <v>Students</v>
          </cell>
        </row>
        <row r="208">
          <cell r="A208">
            <v>216815</v>
          </cell>
          <cell r="B208">
            <v>6</v>
          </cell>
          <cell r="C208" t="str">
            <v>IS</v>
          </cell>
          <cell r="D208" t="str">
            <v>Adv Research</v>
          </cell>
          <cell r="E208">
            <v>15308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O208">
            <v>0</v>
          </cell>
          <cell r="Q208">
            <v>0</v>
          </cell>
          <cell r="R208">
            <v>15308</v>
          </cell>
          <cell r="U208">
            <v>15308</v>
          </cell>
          <cell r="V208" t="str">
            <v>Students</v>
          </cell>
        </row>
        <row r="209">
          <cell r="A209">
            <v>216820</v>
          </cell>
          <cell r="B209">
            <v>6</v>
          </cell>
          <cell r="C209" t="str">
            <v>IS</v>
          </cell>
          <cell r="D209" t="str">
            <v>Annual Fund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O209">
            <v>0</v>
          </cell>
          <cell r="Q209">
            <v>0</v>
          </cell>
          <cell r="R209">
            <v>0</v>
          </cell>
          <cell r="U209">
            <v>0</v>
          </cell>
          <cell r="V209" t="str">
            <v>Students</v>
          </cell>
        </row>
        <row r="210">
          <cell r="A210">
            <v>216825</v>
          </cell>
          <cell r="B210">
            <v>6</v>
          </cell>
          <cell r="C210" t="str">
            <v>IS</v>
          </cell>
          <cell r="D210" t="str">
            <v>Adv. Records</v>
          </cell>
          <cell r="E210">
            <v>120303</v>
          </cell>
          <cell r="F210">
            <v>0</v>
          </cell>
          <cell r="G210">
            <v>56773</v>
          </cell>
          <cell r="H210">
            <v>56773</v>
          </cell>
          <cell r="I210">
            <v>1.3095216731799453E-3</v>
          </cell>
          <cell r="J210">
            <v>18946.695837644962</v>
          </cell>
          <cell r="O210">
            <v>18946.695837644962</v>
          </cell>
          <cell r="Q210">
            <v>0</v>
          </cell>
          <cell r="R210">
            <v>139249.69583764498</v>
          </cell>
          <cell r="U210">
            <v>139249.69583764498</v>
          </cell>
          <cell r="V210" t="str">
            <v>Students</v>
          </cell>
        </row>
        <row r="211">
          <cell r="A211">
            <v>216830</v>
          </cell>
          <cell r="B211">
            <v>6</v>
          </cell>
          <cell r="C211" t="str">
            <v>IS</v>
          </cell>
          <cell r="D211" t="str">
            <v>Planned Giving</v>
          </cell>
          <cell r="E211">
            <v>27578</v>
          </cell>
          <cell r="F211">
            <v>0</v>
          </cell>
          <cell r="G211">
            <v>700</v>
          </cell>
          <cell r="H211">
            <v>700</v>
          </cell>
          <cell r="I211">
            <v>1.6146146429217439E-5</v>
          </cell>
          <cell r="J211">
            <v>233.60905864321904</v>
          </cell>
          <cell r="O211">
            <v>233.60905864321904</v>
          </cell>
          <cell r="Q211">
            <v>0</v>
          </cell>
          <cell r="R211">
            <v>27811.609058643218</v>
          </cell>
          <cell r="U211">
            <v>27811.609058643218</v>
          </cell>
          <cell r="V211" t="str">
            <v>Students</v>
          </cell>
        </row>
        <row r="212">
          <cell r="A212">
            <v>216840</v>
          </cell>
          <cell r="B212">
            <v>6</v>
          </cell>
          <cell r="C212" t="str">
            <v>IS</v>
          </cell>
          <cell r="D212" t="str">
            <v>Public Affairs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O212">
            <v>0</v>
          </cell>
          <cell r="Q212">
            <v>0</v>
          </cell>
          <cell r="R212">
            <v>0</v>
          </cell>
          <cell r="U212">
            <v>0</v>
          </cell>
          <cell r="V212" t="str">
            <v>Students</v>
          </cell>
        </row>
        <row r="213">
          <cell r="A213">
            <v>216845</v>
          </cell>
          <cell r="B213">
            <v>6</v>
          </cell>
          <cell r="C213" t="str">
            <v>IS</v>
          </cell>
          <cell r="D213" t="str">
            <v>Centennial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O213">
            <v>0</v>
          </cell>
          <cell r="Q213">
            <v>0</v>
          </cell>
          <cell r="R213">
            <v>0</v>
          </cell>
          <cell r="U213">
            <v>0</v>
          </cell>
          <cell r="V213" t="str">
            <v>Students</v>
          </cell>
        </row>
        <row r="214">
          <cell r="A214">
            <v>216850</v>
          </cell>
          <cell r="B214">
            <v>6</v>
          </cell>
          <cell r="C214" t="str">
            <v>IS</v>
          </cell>
          <cell r="D214" t="str">
            <v>Publications &amp; Mktg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O214">
            <v>0</v>
          </cell>
          <cell r="Q214">
            <v>0</v>
          </cell>
          <cell r="R214">
            <v>0</v>
          </cell>
          <cell r="U214">
            <v>0</v>
          </cell>
          <cell r="V214" t="str">
            <v>Students</v>
          </cell>
        </row>
        <row r="215">
          <cell r="A215">
            <v>216851</v>
          </cell>
          <cell r="B215">
            <v>6</v>
          </cell>
          <cell r="C215" t="str">
            <v>IS</v>
          </cell>
          <cell r="D215" t="str">
            <v>Pub &amp; Marketing-Campaign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O215">
            <v>0</v>
          </cell>
          <cell r="Q215">
            <v>0</v>
          </cell>
          <cell r="R215">
            <v>0</v>
          </cell>
          <cell r="U215">
            <v>0</v>
          </cell>
          <cell r="V215" t="str">
            <v>Students</v>
          </cell>
        </row>
        <row r="216">
          <cell r="A216">
            <v>216855</v>
          </cell>
          <cell r="B216">
            <v>6</v>
          </cell>
          <cell r="C216" t="str">
            <v>IS</v>
          </cell>
          <cell r="D216" t="str">
            <v>Web Team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O216">
            <v>0</v>
          </cell>
          <cell r="Q216">
            <v>0</v>
          </cell>
          <cell r="R216">
            <v>0</v>
          </cell>
          <cell r="U216">
            <v>0</v>
          </cell>
          <cell r="V216" t="str">
            <v>Students</v>
          </cell>
        </row>
        <row r="217">
          <cell r="A217">
            <v>216860</v>
          </cell>
          <cell r="B217">
            <v>6</v>
          </cell>
          <cell r="C217" t="str">
            <v>IS</v>
          </cell>
          <cell r="D217" t="str">
            <v>Alumni</v>
          </cell>
          <cell r="E217">
            <v>438953</v>
          </cell>
          <cell r="F217">
            <v>0</v>
          </cell>
          <cell r="G217">
            <v>218871</v>
          </cell>
          <cell r="H217">
            <v>218871</v>
          </cell>
          <cell r="I217">
            <v>5.0484617358703575E-3</v>
          </cell>
          <cell r="J217">
            <v>73043.211820428565</v>
          </cell>
          <cell r="M217">
            <v>0</v>
          </cell>
          <cell r="O217">
            <v>73043.211820428565</v>
          </cell>
          <cell r="Q217">
            <v>0</v>
          </cell>
          <cell r="R217">
            <v>511996.21182042855</v>
          </cell>
          <cell r="U217">
            <v>511996.21182042855</v>
          </cell>
          <cell r="V217" t="str">
            <v>Students</v>
          </cell>
        </row>
        <row r="218">
          <cell r="A218">
            <v>216861</v>
          </cell>
          <cell r="B218">
            <v>6</v>
          </cell>
          <cell r="C218" t="str">
            <v>IS</v>
          </cell>
          <cell r="D218" t="str">
            <v>Alumni-Campaign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O218">
            <v>0</v>
          </cell>
          <cell r="Q218">
            <v>0</v>
          </cell>
          <cell r="R218">
            <v>0</v>
          </cell>
          <cell r="U218">
            <v>0</v>
          </cell>
          <cell r="V218" t="str">
            <v>Students</v>
          </cell>
        </row>
        <row r="219">
          <cell r="A219">
            <v>216880</v>
          </cell>
          <cell r="B219">
            <v>6</v>
          </cell>
          <cell r="C219" t="str">
            <v>IS</v>
          </cell>
          <cell r="D219" t="str">
            <v>Major Gifts</v>
          </cell>
          <cell r="E219">
            <v>536427</v>
          </cell>
          <cell r="F219">
            <v>0</v>
          </cell>
          <cell r="G219">
            <v>411190</v>
          </cell>
          <cell r="H219">
            <v>411190</v>
          </cell>
          <cell r="I219">
            <v>9.4844770717570272E-3</v>
          </cell>
          <cell r="J219">
            <v>137225.29831929319</v>
          </cell>
          <cell r="O219">
            <v>137225.29831929319</v>
          </cell>
          <cell r="Q219">
            <v>512</v>
          </cell>
          <cell r="R219">
            <v>674164.29831929319</v>
          </cell>
          <cell r="U219">
            <v>674164.29831929319</v>
          </cell>
          <cell r="V219" t="str">
            <v>Students</v>
          </cell>
        </row>
        <row r="220">
          <cell r="A220">
            <v>216900</v>
          </cell>
          <cell r="B220">
            <v>6</v>
          </cell>
          <cell r="C220" t="str">
            <v>IS</v>
          </cell>
          <cell r="D220" t="str">
            <v>VP Marketing &amp; Communications</v>
          </cell>
          <cell r="E220">
            <v>1143522</v>
          </cell>
          <cell r="F220">
            <v>0</v>
          </cell>
          <cell r="G220">
            <v>857051</v>
          </cell>
          <cell r="H220">
            <v>857051</v>
          </cell>
          <cell r="I220">
            <v>1.9768672776153195E-2</v>
          </cell>
          <cell r="J220">
            <v>286021.25331318507</v>
          </cell>
          <cell r="O220">
            <v>286021.25331318507</v>
          </cell>
          <cell r="Q220">
            <v>1292</v>
          </cell>
          <cell r="R220">
            <v>1430835.2533131852</v>
          </cell>
          <cell r="U220">
            <v>1430835.2533131852</v>
          </cell>
          <cell r="V220" t="str">
            <v>Students</v>
          </cell>
        </row>
        <row r="221">
          <cell r="A221">
            <v>216999</v>
          </cell>
          <cell r="B221">
            <v>6</v>
          </cell>
          <cell r="C221" t="str">
            <v>IS</v>
          </cell>
          <cell r="D221" t="str">
            <v>Capitalized Exp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U221">
            <v>0</v>
          </cell>
          <cell r="V221" t="str">
            <v>Students</v>
          </cell>
        </row>
        <row r="222">
          <cell r="C222" t="str">
            <v>IS</v>
          </cell>
          <cell r="D222" t="str">
            <v>Physical Plant Allocation</v>
          </cell>
          <cell r="P222">
            <v>885086.26815532788</v>
          </cell>
          <cell r="R222">
            <v>885086.26815532788</v>
          </cell>
          <cell r="U222">
            <v>885086.26815532788</v>
          </cell>
          <cell r="V222" t="str">
            <v>Students</v>
          </cell>
        </row>
        <row r="223">
          <cell r="D223" t="str">
            <v>TOTAL</v>
          </cell>
          <cell r="E223">
            <v>16443467</v>
          </cell>
          <cell r="F223">
            <v>357256</v>
          </cell>
          <cell r="G223">
            <v>9543668</v>
          </cell>
          <cell r="H223">
            <v>9186412</v>
          </cell>
          <cell r="J223">
            <v>3065755.7994696731</v>
          </cell>
          <cell r="M223">
            <v>111260.9347829563</v>
          </cell>
          <cell r="O223">
            <v>3177016.7342526293</v>
          </cell>
          <cell r="P223">
            <v>0</v>
          </cell>
          <cell r="Q223">
            <v>17959</v>
          </cell>
          <cell r="R223">
            <v>20523529.002407953</v>
          </cell>
          <cell r="U223">
            <v>20523529.002407953</v>
          </cell>
          <cell r="V223" t="str">
            <v/>
          </cell>
        </row>
        <row r="224">
          <cell r="Q224" t="str">
            <v xml:space="preserve"> </v>
          </cell>
          <cell r="V224" t="str">
            <v/>
          </cell>
        </row>
        <row r="225">
          <cell r="V225" t="str">
            <v/>
          </cell>
        </row>
        <row r="226">
          <cell r="V226" t="str">
            <v/>
          </cell>
        </row>
        <row r="227">
          <cell r="A227">
            <v>217790</v>
          </cell>
          <cell r="B227">
            <v>7</v>
          </cell>
          <cell r="C227" t="str">
            <v>PP</v>
          </cell>
          <cell r="D227" t="str">
            <v>Physical Plant</v>
          </cell>
          <cell r="E227">
            <v>9083992</v>
          </cell>
          <cell r="F227">
            <v>0</v>
          </cell>
          <cell r="G227">
            <v>1423419</v>
          </cell>
          <cell r="H227">
            <v>1423419</v>
          </cell>
          <cell r="I227">
            <v>3.2832473720186085E-2</v>
          </cell>
          <cell r="J227">
            <v>475033.6752069603</v>
          </cell>
          <cell r="O227">
            <v>475033.6752069603</v>
          </cell>
          <cell r="P227">
            <v>-9560010</v>
          </cell>
          <cell r="Q227">
            <v>984</v>
          </cell>
          <cell r="R227">
            <v>-0.32479303888976574</v>
          </cell>
          <cell r="U227">
            <v>-0.32479303888976574</v>
          </cell>
          <cell r="V227">
            <v>0</v>
          </cell>
        </row>
        <row r="228">
          <cell r="V228" t="str">
            <v/>
          </cell>
        </row>
        <row r="229">
          <cell r="V229" t="str">
            <v/>
          </cell>
        </row>
        <row r="230">
          <cell r="V230" t="str">
            <v/>
          </cell>
        </row>
        <row r="231">
          <cell r="V231" t="str">
            <v/>
          </cell>
        </row>
        <row r="232">
          <cell r="A232">
            <v>218700</v>
          </cell>
          <cell r="B232">
            <v>8</v>
          </cell>
          <cell r="C232" t="str">
            <v>SB</v>
          </cell>
          <cell r="D232" t="str">
            <v>Fringe Benefits</v>
          </cell>
          <cell r="E232">
            <v>14833489</v>
          </cell>
          <cell r="F232">
            <v>0</v>
          </cell>
          <cell r="H232">
            <v>0</v>
          </cell>
          <cell r="I232">
            <v>0</v>
          </cell>
          <cell r="J232">
            <v>0</v>
          </cell>
          <cell r="O232">
            <v>-14833489</v>
          </cell>
          <cell r="R232">
            <v>0</v>
          </cell>
          <cell r="U232">
            <v>0</v>
          </cell>
          <cell r="V232">
            <v>0</v>
          </cell>
        </row>
        <row r="233">
          <cell r="V233" t="str">
            <v/>
          </cell>
        </row>
        <row r="234">
          <cell r="V234" t="str">
            <v/>
          </cell>
        </row>
        <row r="235">
          <cell r="V235" t="str">
            <v/>
          </cell>
        </row>
        <row r="236">
          <cell r="A236">
            <v>218200</v>
          </cell>
          <cell r="B236">
            <v>9</v>
          </cell>
          <cell r="C236" t="str">
            <v>SCH</v>
          </cell>
          <cell r="D236" t="str">
            <v>Financial Aid</v>
          </cell>
          <cell r="E236">
            <v>59869649</v>
          </cell>
          <cell r="F236">
            <v>0</v>
          </cell>
          <cell r="H236">
            <v>0</v>
          </cell>
          <cell r="I236">
            <v>0</v>
          </cell>
          <cell r="J236">
            <v>0</v>
          </cell>
          <cell r="O236">
            <v>0</v>
          </cell>
          <cell r="Q236">
            <v>-254463</v>
          </cell>
          <cell r="R236">
            <v>59615186</v>
          </cell>
          <cell r="U236">
            <v>59615186</v>
          </cell>
          <cell r="V236">
            <v>0</v>
          </cell>
        </row>
        <row r="237">
          <cell r="V237" t="str">
            <v/>
          </cell>
        </row>
        <row r="238">
          <cell r="V238" t="str">
            <v/>
          </cell>
        </row>
        <row r="239">
          <cell r="V239" t="str">
            <v/>
          </cell>
        </row>
        <row r="240">
          <cell r="A240">
            <v>216711</v>
          </cell>
          <cell r="B240">
            <v>10</v>
          </cell>
          <cell r="C240" t="str">
            <v>DS</v>
          </cell>
          <cell r="D240" t="str">
            <v>Debt Service - E &amp; G</v>
          </cell>
          <cell r="E240">
            <v>3009576</v>
          </cell>
          <cell r="F240">
            <v>0</v>
          </cell>
          <cell r="H240">
            <v>0</v>
          </cell>
          <cell r="I240">
            <v>0</v>
          </cell>
          <cell r="J240">
            <v>0</v>
          </cell>
          <cell r="O240">
            <v>0</v>
          </cell>
          <cell r="R240">
            <v>3009576</v>
          </cell>
          <cell r="U240">
            <v>3009576</v>
          </cell>
          <cell r="V240">
            <v>0</v>
          </cell>
        </row>
        <row r="241">
          <cell r="V241" t="str">
            <v/>
          </cell>
        </row>
        <row r="242">
          <cell r="V242" t="str">
            <v/>
          </cell>
        </row>
        <row r="243">
          <cell r="A243">
            <v>319100</v>
          </cell>
          <cell r="B243">
            <v>11</v>
          </cell>
          <cell r="C243" t="str">
            <v>AUX</v>
          </cell>
          <cell r="D243" t="str">
            <v>Filming</v>
          </cell>
          <cell r="E243">
            <v>35063</v>
          </cell>
          <cell r="F243">
            <v>0</v>
          </cell>
          <cell r="G243">
            <v>7263</v>
          </cell>
          <cell r="H243">
            <v>7263</v>
          </cell>
          <cell r="I243">
            <v>1.6752780216486608E-4</v>
          </cell>
          <cell r="J243">
            <v>2423.8608470367139</v>
          </cell>
          <cell r="O243">
            <v>2423.8608470367139</v>
          </cell>
          <cell r="Q243">
            <v>0</v>
          </cell>
          <cell r="R243">
            <v>37486.860847036711</v>
          </cell>
          <cell r="U243">
            <v>37486.860847036711</v>
          </cell>
          <cell r="V243" t="str">
            <v>Excluded</v>
          </cell>
        </row>
        <row r="244">
          <cell r="A244">
            <v>319400</v>
          </cell>
          <cell r="B244">
            <v>11</v>
          </cell>
          <cell r="C244" t="str">
            <v>AUX</v>
          </cell>
          <cell r="D244" t="str">
            <v>Music Lessons</v>
          </cell>
          <cell r="E244">
            <v>3250</v>
          </cell>
          <cell r="F244">
            <v>0</v>
          </cell>
          <cell r="G244">
            <v>3250</v>
          </cell>
          <cell r="H244">
            <v>3250</v>
          </cell>
          <cell r="I244">
            <v>7.4964251278509538E-5</v>
          </cell>
          <cell r="J244">
            <v>1084.6134865578026</v>
          </cell>
          <cell r="O244">
            <v>1084.6134865578026</v>
          </cell>
          <cell r="Q244">
            <v>0</v>
          </cell>
          <cell r="R244">
            <v>4334.6134865578024</v>
          </cell>
          <cell r="U244">
            <v>4334.6134865578024</v>
          </cell>
          <cell r="V244" t="str">
            <v>Excluded</v>
          </cell>
        </row>
        <row r="245">
          <cell r="A245">
            <v>319401</v>
          </cell>
          <cell r="B245">
            <v>11</v>
          </cell>
          <cell r="C245" t="str">
            <v>AUX</v>
          </cell>
          <cell r="D245" t="str">
            <v>Music Prep Program</v>
          </cell>
          <cell r="E245">
            <v>128195</v>
          </cell>
          <cell r="F245">
            <v>0</v>
          </cell>
          <cell r="G245">
            <v>122746</v>
          </cell>
          <cell r="H245">
            <v>122746</v>
          </cell>
          <cell r="I245">
            <v>2.8312498422867483E-3</v>
          </cell>
          <cell r="J245">
            <v>40963.682160315089</v>
          </cell>
          <cell r="O245">
            <v>40963.682160315089</v>
          </cell>
          <cell r="Q245">
            <v>0</v>
          </cell>
          <cell r="R245">
            <v>169158.6821603151</v>
          </cell>
          <cell r="U245">
            <v>169158.6821603151</v>
          </cell>
          <cell r="V245" t="str">
            <v>Excluded</v>
          </cell>
        </row>
        <row r="246">
          <cell r="A246">
            <v>319420</v>
          </cell>
          <cell r="B246">
            <v>11</v>
          </cell>
          <cell r="C246" t="str">
            <v>AUX</v>
          </cell>
          <cell r="D246" t="str">
            <v>Roussell Hall</v>
          </cell>
          <cell r="E246">
            <v>137758</v>
          </cell>
          <cell r="F246">
            <v>0</v>
          </cell>
          <cell r="G246">
            <v>91184</v>
          </cell>
          <cell r="H246">
            <v>91184</v>
          </cell>
          <cell r="I246">
            <v>2.1032431657168043E-3</v>
          </cell>
          <cell r="J246">
            <v>30430.583433318978</v>
          </cell>
          <cell r="O246">
            <v>30430.583433318978</v>
          </cell>
          <cell r="Q246">
            <v>0</v>
          </cell>
          <cell r="R246">
            <v>168188.58343331897</v>
          </cell>
          <cell r="U246">
            <v>168188.58343331897</v>
          </cell>
          <cell r="V246" t="str">
            <v>Excluded</v>
          </cell>
        </row>
        <row r="247">
          <cell r="A247">
            <v>319421</v>
          </cell>
          <cell r="B247">
            <v>11</v>
          </cell>
          <cell r="C247" t="str">
            <v>AUX</v>
          </cell>
          <cell r="D247" t="str">
            <v>Nunemaker</v>
          </cell>
          <cell r="E247">
            <v>2571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O247">
            <v>0</v>
          </cell>
          <cell r="Q247">
            <v>0</v>
          </cell>
          <cell r="R247">
            <v>2571</v>
          </cell>
          <cell r="U247">
            <v>2571</v>
          </cell>
          <cell r="V247" t="str">
            <v>Excluded</v>
          </cell>
        </row>
        <row r="248">
          <cell r="A248">
            <v>319600</v>
          </cell>
          <cell r="B248">
            <v>11</v>
          </cell>
          <cell r="C248" t="str">
            <v>AUX</v>
          </cell>
          <cell r="D248" t="str">
            <v>Residential Life</v>
          </cell>
          <cell r="E248">
            <v>445389</v>
          </cell>
          <cell r="F248">
            <v>0</v>
          </cell>
          <cell r="G248">
            <v>260605</v>
          </cell>
          <cell r="H248">
            <v>260605</v>
          </cell>
          <cell r="I248">
            <v>6.0110949859803007E-3</v>
          </cell>
          <cell r="J248">
            <v>86970.983896737278</v>
          </cell>
          <cell r="O248">
            <v>86970.983896737278</v>
          </cell>
          <cell r="Q248">
            <v>19871</v>
          </cell>
          <cell r="R248">
            <v>552230.98389673722</v>
          </cell>
          <cell r="U248">
            <v>552230.98389673722</v>
          </cell>
          <cell r="V248" t="str">
            <v>Excluded</v>
          </cell>
        </row>
        <row r="249">
          <cell r="A249">
            <v>319610</v>
          </cell>
          <cell r="B249">
            <v>11</v>
          </cell>
          <cell r="C249" t="str">
            <v>AUX</v>
          </cell>
          <cell r="D249" t="str">
            <v>Biever Hall</v>
          </cell>
          <cell r="E249">
            <v>156776</v>
          </cell>
          <cell r="F249">
            <v>0</v>
          </cell>
          <cell r="G249">
            <v>156776</v>
          </cell>
          <cell r="H249">
            <v>156776</v>
          </cell>
          <cell r="I249">
            <v>3.6161832179814188E-3</v>
          </cell>
          <cell r="J249">
            <v>52320.419682641863</v>
          </cell>
          <cell r="O249">
            <v>52320.419682641863</v>
          </cell>
          <cell r="P249">
            <v>0</v>
          </cell>
          <cell r="R249">
            <v>209096.41968264186</v>
          </cell>
          <cell r="U249">
            <v>209096.41968264186</v>
          </cell>
          <cell r="V249" t="str">
            <v>Excluded</v>
          </cell>
        </row>
        <row r="250">
          <cell r="A250">
            <v>319615</v>
          </cell>
          <cell r="B250">
            <v>11</v>
          </cell>
          <cell r="C250" t="str">
            <v>AUX</v>
          </cell>
          <cell r="D250" t="str">
            <v>Carrollton Hall</v>
          </cell>
          <cell r="E250">
            <v>85410</v>
          </cell>
          <cell r="F250">
            <v>0</v>
          </cell>
          <cell r="G250">
            <v>85410</v>
          </cell>
          <cell r="H250">
            <v>85410</v>
          </cell>
          <cell r="I250">
            <v>1.9700605235992309E-3</v>
          </cell>
          <cell r="J250">
            <v>28503.642426739058</v>
          </cell>
          <cell r="O250">
            <v>28503.642426739058</v>
          </cell>
          <cell r="P250">
            <v>0</v>
          </cell>
          <cell r="R250">
            <v>113913.64242673905</v>
          </cell>
          <cell r="U250">
            <v>113913.64242673905</v>
          </cell>
          <cell r="V250" t="str">
            <v>Excluded</v>
          </cell>
        </row>
        <row r="251">
          <cell r="A251">
            <v>319620</v>
          </cell>
          <cell r="B251">
            <v>11</v>
          </cell>
          <cell r="C251" t="str">
            <v>AUX</v>
          </cell>
          <cell r="D251" t="str">
            <v>Buddig Hall</v>
          </cell>
          <cell r="E251">
            <v>113140</v>
          </cell>
          <cell r="F251">
            <v>0</v>
          </cell>
          <cell r="G251">
            <v>109840</v>
          </cell>
          <cell r="H251">
            <v>109840</v>
          </cell>
          <cell r="I251">
            <v>2.5335610339789192E-3</v>
          </cell>
          <cell r="J251">
            <v>36656.598573387397</v>
          </cell>
          <cell r="O251">
            <v>36656.598573387397</v>
          </cell>
          <cell r="P251">
            <v>0</v>
          </cell>
          <cell r="R251">
            <v>149796.5985733874</v>
          </cell>
          <cell r="U251">
            <v>149796.5985733874</v>
          </cell>
          <cell r="V251" t="str">
            <v>Excluded</v>
          </cell>
        </row>
        <row r="252">
          <cell r="A252">
            <v>319625</v>
          </cell>
          <cell r="B252">
            <v>11</v>
          </cell>
          <cell r="C252" t="str">
            <v>AUX</v>
          </cell>
          <cell r="D252" t="str">
            <v>Cabra Hall</v>
          </cell>
          <cell r="E252">
            <v>71128</v>
          </cell>
          <cell r="F252">
            <v>0</v>
          </cell>
          <cell r="G252">
            <v>71128</v>
          </cell>
          <cell r="H252">
            <v>71128</v>
          </cell>
          <cell r="I252">
            <v>1.6406330045962542E-3</v>
          </cell>
          <cell r="J252">
            <v>23737.350175964119</v>
          </cell>
          <cell r="O252">
            <v>23737.350175964119</v>
          </cell>
          <cell r="P252">
            <v>0</v>
          </cell>
          <cell r="R252">
            <v>94865.350175964122</v>
          </cell>
          <cell r="U252">
            <v>94865.350175964122</v>
          </cell>
          <cell r="V252" t="str">
            <v>Excluded</v>
          </cell>
        </row>
        <row r="253">
          <cell r="A253">
            <v>319627</v>
          </cell>
          <cell r="B253">
            <v>11</v>
          </cell>
          <cell r="C253" t="str">
            <v>AUX</v>
          </cell>
          <cell r="D253" t="str">
            <v xml:space="preserve">Danna Center Revenue </v>
          </cell>
          <cell r="E253">
            <v>29055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O253">
            <v>0</v>
          </cell>
          <cell r="P253">
            <v>0</v>
          </cell>
          <cell r="R253">
            <v>29055</v>
          </cell>
          <cell r="U253">
            <v>29055</v>
          </cell>
          <cell r="V253" t="str">
            <v>Excluded</v>
          </cell>
        </row>
        <row r="254">
          <cell r="A254">
            <v>319675</v>
          </cell>
          <cell r="B254">
            <v>11</v>
          </cell>
          <cell r="C254" t="str">
            <v>AUX</v>
          </cell>
          <cell r="D254" t="str">
            <v>Athletics</v>
          </cell>
          <cell r="E254">
            <v>215994</v>
          </cell>
          <cell r="F254">
            <v>0</v>
          </cell>
          <cell r="G254">
            <v>171567</v>
          </cell>
          <cell r="H254">
            <v>171567</v>
          </cell>
          <cell r="I254">
            <v>3.9573512920307837E-3</v>
          </cell>
          <cell r="J254">
            <v>57256.579091773092</v>
          </cell>
          <cell r="O254">
            <v>57256.579091773092</v>
          </cell>
          <cell r="P254">
            <v>0</v>
          </cell>
          <cell r="Q254">
            <v>20750</v>
          </cell>
          <cell r="R254">
            <v>294000.57909177308</v>
          </cell>
          <cell r="U254">
            <v>294001.57909177308</v>
          </cell>
          <cell r="V254" t="str">
            <v>Excluded</v>
          </cell>
        </row>
        <row r="255">
          <cell r="A255">
            <v>319700</v>
          </cell>
          <cell r="B255">
            <v>11</v>
          </cell>
          <cell r="C255" t="str">
            <v>AUX</v>
          </cell>
          <cell r="D255" t="str">
            <v>Child Care Center</v>
          </cell>
          <cell r="E255">
            <v>476203</v>
          </cell>
          <cell r="F255">
            <v>0</v>
          </cell>
          <cell r="G255">
            <v>439971</v>
          </cell>
          <cell r="H255">
            <v>439971</v>
          </cell>
          <cell r="I255">
            <v>1.0148337415156037E-2</v>
          </cell>
          <cell r="J255">
            <v>146830.30162902246</v>
          </cell>
          <cell r="O255">
            <v>146830.30162902246</v>
          </cell>
          <cell r="P255">
            <v>0</v>
          </cell>
          <cell r="Q255">
            <v>10158</v>
          </cell>
          <cell r="R255">
            <v>633191.30162902246</v>
          </cell>
          <cell r="U255">
            <v>633191.30162902246</v>
          </cell>
          <cell r="V255" t="str">
            <v>Excluded</v>
          </cell>
        </row>
        <row r="256">
          <cell r="A256">
            <v>319736</v>
          </cell>
          <cell r="B256">
            <v>11</v>
          </cell>
          <cell r="C256" t="str">
            <v>AUX</v>
          </cell>
          <cell r="D256" t="str">
            <v>Parking Services</v>
          </cell>
          <cell r="E256">
            <v>51877</v>
          </cell>
          <cell r="F256">
            <v>0</v>
          </cell>
          <cell r="G256">
            <v>42388</v>
          </cell>
          <cell r="H256">
            <v>42388</v>
          </cell>
          <cell r="I256">
            <v>9.7771836405952692E-4</v>
          </cell>
          <cell r="J256">
            <v>14146.029682526812</v>
          </cell>
          <cell r="O256">
            <v>14146.029682526812</v>
          </cell>
          <cell r="P256">
            <v>0</v>
          </cell>
          <cell r="R256">
            <v>66023.029682526816</v>
          </cell>
          <cell r="U256">
            <v>66022.029682526816</v>
          </cell>
          <cell r="V256" t="str">
            <v>Excluded</v>
          </cell>
        </row>
        <row r="257">
          <cell r="C257" t="str">
            <v>AUX</v>
          </cell>
          <cell r="D257" t="str">
            <v>Physical Plant Allocation</v>
          </cell>
          <cell r="P257">
            <v>3157082.8731449842</v>
          </cell>
          <cell r="R257">
            <v>3157082.8731449842</v>
          </cell>
          <cell r="U257">
            <v>3157081.8731449842</v>
          </cell>
          <cell r="V257" t="str">
            <v>Excluded</v>
          </cell>
        </row>
        <row r="258">
          <cell r="D258" t="str">
            <v>TOTAL</v>
          </cell>
          <cell r="E258">
            <v>1951809</v>
          </cell>
          <cell r="F258">
            <v>0</v>
          </cell>
          <cell r="G258">
            <v>1562128</v>
          </cell>
          <cell r="H258">
            <v>1562128</v>
          </cell>
          <cell r="I258">
            <v>3.60319248988294E-2</v>
          </cell>
          <cell r="J258">
            <v>521324.6450860207</v>
          </cell>
          <cell r="M258">
            <v>0</v>
          </cell>
          <cell r="O258">
            <v>521324.6450860207</v>
          </cell>
          <cell r="P258">
            <v>0</v>
          </cell>
          <cell r="Q258">
            <v>50779</v>
          </cell>
          <cell r="R258">
            <v>5680995.5182310045</v>
          </cell>
          <cell r="U258">
            <v>5680994.5182310045</v>
          </cell>
          <cell r="V258" t="str">
            <v/>
          </cell>
        </row>
        <row r="259">
          <cell r="V259" t="str">
            <v/>
          </cell>
        </row>
        <row r="260">
          <cell r="V260" t="str">
            <v/>
          </cell>
        </row>
        <row r="261">
          <cell r="A261">
            <v>319720</v>
          </cell>
          <cell r="B261">
            <v>12</v>
          </cell>
          <cell r="C261" t="str">
            <v>DS</v>
          </cell>
          <cell r="D261" t="str">
            <v>Debt Service - Aux</v>
          </cell>
          <cell r="E261">
            <v>1103649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O261">
            <v>0</v>
          </cell>
          <cell r="R261">
            <v>1103649</v>
          </cell>
          <cell r="U261">
            <v>1103649</v>
          </cell>
          <cell r="V261">
            <v>0</v>
          </cell>
        </row>
        <row r="266">
          <cell r="V266">
            <v>84582605.229999989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s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ata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Instructions and key"/>
      <sheetName val="Student-SIS data 18"/>
      <sheetName val="Student_input"/>
      <sheetName val="Student_output CHART"/>
      <sheetName val="Student_output BUBBLES"/>
      <sheetName val="Faculty-SIS data 18"/>
      <sheetName val="Section_input"/>
      <sheetName val="Section_output DIST"/>
      <sheetName val="Section_output CONSOLID"/>
      <sheetName val="Salary_input"/>
      <sheetName val="Salary_output"/>
      <sheetName val="Faculty workload (CAM) data"/>
      <sheetName val="Workload_input"/>
      <sheetName val="Workload_output"/>
    </sheetNames>
    <sheetDataSet>
      <sheetData sheetId="0"/>
      <sheetData sheetId="1"/>
      <sheetData sheetId="2"/>
      <sheetData sheetId="3">
        <row r="3">
          <cell r="M3" t="str">
            <v>BIOL</v>
          </cell>
          <cell r="N3" t="str">
            <v>Natural Sciences</v>
          </cell>
        </row>
        <row r="4">
          <cell r="M4" t="str">
            <v>CAS</v>
          </cell>
          <cell r="N4" t="str">
            <v>Other</v>
          </cell>
        </row>
        <row r="5">
          <cell r="M5" t="str">
            <v>CHEM</v>
          </cell>
          <cell r="N5" t="str">
            <v>Natural Sciences</v>
          </cell>
        </row>
        <row r="6">
          <cell r="M6" t="str">
            <v>CLASSICS</v>
          </cell>
          <cell r="N6" t="str">
            <v>Humanities</v>
          </cell>
        </row>
        <row r="7">
          <cell r="M7" t="str">
            <v>CMMN</v>
          </cell>
          <cell r="N7" t="str">
            <v>Social Sciences</v>
          </cell>
        </row>
        <row r="8">
          <cell r="M8" t="str">
            <v>CRIM</v>
          </cell>
          <cell r="N8" t="str">
            <v>Social Sciences</v>
          </cell>
        </row>
        <row r="9">
          <cell r="M9" t="str">
            <v>ECON</v>
          </cell>
          <cell r="N9" t="str">
            <v>Social Sciences</v>
          </cell>
        </row>
        <row r="10">
          <cell r="M10" t="str">
            <v>ENGL</v>
          </cell>
          <cell r="N10" t="str">
            <v>Humanities</v>
          </cell>
        </row>
        <row r="11">
          <cell r="M11" t="str">
            <v>HIST</v>
          </cell>
          <cell r="N11" t="str">
            <v>Humanities</v>
          </cell>
        </row>
        <row r="12">
          <cell r="M12" t="str">
            <v>LANG</v>
          </cell>
          <cell r="N12" t="str">
            <v>Humanities</v>
          </cell>
        </row>
        <row r="13">
          <cell r="M13" t="str">
            <v>MATH</v>
          </cell>
          <cell r="N13" t="str">
            <v>Natural Sciences</v>
          </cell>
        </row>
        <row r="14">
          <cell r="M14" t="str">
            <v>ND</v>
          </cell>
          <cell r="N14" t="str">
            <v>Other</v>
          </cell>
        </row>
        <row r="15">
          <cell r="M15" t="str">
            <v>PHIL</v>
          </cell>
          <cell r="N15" t="str">
            <v>Humanities</v>
          </cell>
        </row>
        <row r="16">
          <cell r="M16" t="str">
            <v>PHYS</v>
          </cell>
          <cell r="N16" t="str">
            <v>Natural Sciences</v>
          </cell>
        </row>
        <row r="17">
          <cell r="M17" t="str">
            <v>POLS</v>
          </cell>
          <cell r="N17" t="str">
            <v>Social Sciences</v>
          </cell>
        </row>
        <row r="18">
          <cell r="M18" t="str">
            <v>PSYC</v>
          </cell>
          <cell r="N18" t="str">
            <v>Natural Sciences</v>
          </cell>
        </row>
        <row r="19">
          <cell r="M19" t="str">
            <v>RELS</v>
          </cell>
          <cell r="N19" t="str">
            <v>Humanities</v>
          </cell>
        </row>
        <row r="20">
          <cell r="M20" t="str">
            <v>SOCI</v>
          </cell>
          <cell r="N20" t="str">
            <v>Social Sciences</v>
          </cell>
        </row>
        <row r="21">
          <cell r="M21" t="str">
            <v>TEAC</v>
          </cell>
          <cell r="N21" t="str">
            <v>Social Sciences</v>
          </cell>
        </row>
      </sheetData>
      <sheetData sheetId="4"/>
      <sheetData sheetId="5"/>
      <sheetData sheetId="6"/>
      <sheetData sheetId="7">
        <row r="3">
          <cell r="U3" t="str">
            <v>BU</v>
          </cell>
          <cell r="V3" t="str">
            <v>BU</v>
          </cell>
          <cell r="X3" t="str">
            <v>LEC</v>
          </cell>
          <cell r="Y3">
            <v>30</v>
          </cell>
        </row>
        <row r="4">
          <cell r="U4" t="str">
            <v>CAS</v>
          </cell>
          <cell r="V4" t="str">
            <v>CAS</v>
          </cell>
          <cell r="X4" t="str">
            <v>LAB</v>
          </cell>
          <cell r="Y4">
            <v>25</v>
          </cell>
        </row>
        <row r="5">
          <cell r="U5" t="str">
            <v>ID</v>
          </cell>
          <cell r="V5" t="str">
            <v>Z - Excluded</v>
          </cell>
          <cell r="X5" t="str">
            <v>IND</v>
          </cell>
          <cell r="Y5">
            <v>5</v>
          </cell>
        </row>
        <row r="6">
          <cell r="U6" t="str">
            <v>LW</v>
          </cell>
          <cell r="V6" t="str">
            <v>LW</v>
          </cell>
          <cell r="X6" t="str">
            <v>SEM</v>
          </cell>
          <cell r="Y6">
            <v>20</v>
          </cell>
        </row>
        <row r="7">
          <cell r="U7" t="str">
            <v>CNH</v>
          </cell>
          <cell r="V7" t="str">
            <v>CNH/GPS</v>
          </cell>
          <cell r="X7" t="str">
            <v>FLD</v>
          </cell>
          <cell r="Y7">
            <v>15</v>
          </cell>
        </row>
        <row r="8">
          <cell r="U8" t="str">
            <v>MA</v>
          </cell>
          <cell r="V8" t="str">
            <v>MA</v>
          </cell>
          <cell r="X8" t="str">
            <v>RCT</v>
          </cell>
          <cell r="Y8">
            <v>20</v>
          </cell>
        </row>
        <row r="9">
          <cell r="U9" t="str">
            <v>CE</v>
          </cell>
          <cell r="V9" t="str">
            <v>Z - Excluded</v>
          </cell>
          <cell r="X9" t="str">
            <v>LLB</v>
          </cell>
          <cell r="Y9">
            <v>20</v>
          </cell>
        </row>
        <row r="10">
          <cell r="U10" t="str">
            <v>GPS</v>
          </cell>
          <cell r="V10" t="str">
            <v>CNH/GPS</v>
          </cell>
          <cell r="X10" t="str">
            <v>PRA</v>
          </cell>
          <cell r="Y10">
            <v>10</v>
          </cell>
        </row>
        <row r="11">
          <cell r="U11" t="str">
            <v>CEX</v>
          </cell>
          <cell r="V11" t="str">
            <v>Z - Excluded</v>
          </cell>
          <cell r="X11" t="str">
            <v>STU</v>
          </cell>
          <cell r="Y11">
            <v>15</v>
          </cell>
        </row>
        <row r="12">
          <cell r="U12" t="str">
            <v>CEO</v>
          </cell>
          <cell r="V12" t="str">
            <v>Z - Excluded</v>
          </cell>
          <cell r="X12" t="str">
            <v>Deleted</v>
          </cell>
          <cell r="Y12">
            <v>0</v>
          </cell>
        </row>
        <row r="13">
          <cell r="X13" t="str">
            <v>ENS</v>
          </cell>
          <cell r="Y13">
            <v>35</v>
          </cell>
        </row>
        <row r="14">
          <cell r="X14" t="str">
            <v>PRL</v>
          </cell>
          <cell r="Y14">
            <v>10</v>
          </cell>
        </row>
        <row r="15">
          <cell r="X15" t="str">
            <v>WSP</v>
          </cell>
          <cell r="Y15">
            <v>85</v>
          </cell>
        </row>
        <row r="16">
          <cell r="X16" t="str">
            <v>CLN</v>
          </cell>
          <cell r="Y16">
            <v>20</v>
          </cell>
        </row>
        <row r="17">
          <cell r="X17" t="str">
            <v>RES</v>
          </cell>
          <cell r="Y17">
            <v>5</v>
          </cell>
        </row>
      </sheetData>
      <sheetData sheetId="8">
        <row r="4">
          <cell r="O4" t="str">
            <v>Biology</v>
          </cell>
          <cell r="P4" t="str">
            <v>Natural Sciences</v>
          </cell>
        </row>
        <row r="5">
          <cell r="O5" t="str">
            <v>Chemistry</v>
          </cell>
          <cell r="P5" t="str">
            <v>Natural Sciences</v>
          </cell>
        </row>
        <row r="6">
          <cell r="O6" t="str">
            <v>Classical Studies</v>
          </cell>
          <cell r="P6" t="str">
            <v>Humanities</v>
          </cell>
        </row>
        <row r="7">
          <cell r="O7" t="str">
            <v>Computer Sciences</v>
          </cell>
          <cell r="P7" t="str">
            <v>Natural Sciences</v>
          </cell>
        </row>
        <row r="8">
          <cell r="O8" t="str">
            <v>Criminal Justice</v>
          </cell>
          <cell r="P8" t="str">
            <v>Social Sciences</v>
          </cell>
        </row>
        <row r="9">
          <cell r="O9" t="str">
            <v>English</v>
          </cell>
          <cell r="P9" t="str">
            <v>Humanities</v>
          </cell>
        </row>
        <row r="10">
          <cell r="O10" t="str">
            <v>Food Studies</v>
          </cell>
          <cell r="P10" t="str">
            <v>Social Sciences</v>
          </cell>
        </row>
        <row r="11">
          <cell r="O11" t="str">
            <v>History</v>
          </cell>
          <cell r="P11" t="str">
            <v>Humanities</v>
          </cell>
        </row>
        <row r="12">
          <cell r="O12" t="str">
            <v>Languages and Cultures</v>
          </cell>
          <cell r="P12" t="str">
            <v>Humanities</v>
          </cell>
        </row>
        <row r="13">
          <cell r="O13" t="str">
            <v>Mathematical Sciences</v>
          </cell>
          <cell r="P13" t="str">
            <v>Natural Sciences</v>
          </cell>
        </row>
        <row r="14">
          <cell r="O14" t="str">
            <v>Philosophy</v>
          </cell>
          <cell r="P14" t="str">
            <v>Humanities</v>
          </cell>
        </row>
        <row r="15">
          <cell r="O15" t="str">
            <v>Physics</v>
          </cell>
          <cell r="P15" t="str">
            <v>Natural Sciences</v>
          </cell>
        </row>
        <row r="16">
          <cell r="O16" t="str">
            <v>Political Science</v>
          </cell>
          <cell r="P16" t="str">
            <v>Social Sciences</v>
          </cell>
        </row>
        <row r="17">
          <cell r="O17" t="str">
            <v>Psychology</v>
          </cell>
          <cell r="P17" t="str">
            <v>Natural Sciences</v>
          </cell>
        </row>
        <row r="18">
          <cell r="O18" t="str">
            <v>Religious Studies</v>
          </cell>
          <cell r="P18" t="str">
            <v>Humanities</v>
          </cell>
        </row>
        <row r="19">
          <cell r="O19" t="str">
            <v>Sociology</v>
          </cell>
          <cell r="P19" t="str">
            <v>Social Sciences</v>
          </cell>
        </row>
        <row r="20">
          <cell r="O20" t="str">
            <v>SoMC</v>
          </cell>
          <cell r="P20" t="str">
            <v>Social Sciences</v>
          </cell>
        </row>
        <row r="21">
          <cell r="O21" t="str">
            <v>Teach</v>
          </cell>
          <cell r="P21" t="str">
            <v>Social Sciences</v>
          </cell>
        </row>
      </sheetData>
      <sheetData sheetId="9"/>
      <sheetData sheetId="10">
        <row r="3">
          <cell r="M3" t="str">
            <v>F</v>
          </cell>
          <cell r="N3" t="str">
            <v>Full</v>
          </cell>
          <cell r="P3" t="str">
            <v>E</v>
          </cell>
          <cell r="Q3" t="str">
            <v>Assistant</v>
          </cell>
        </row>
        <row r="4">
          <cell r="M4" t="str">
            <v>P</v>
          </cell>
          <cell r="N4" t="str">
            <v>Part</v>
          </cell>
          <cell r="P4" t="str">
            <v>P</v>
          </cell>
          <cell r="Q4" t="str">
            <v>Part</v>
          </cell>
        </row>
        <row r="5">
          <cell r="M5" t="str">
            <v>L</v>
          </cell>
          <cell r="N5" t="str">
            <v>Full</v>
          </cell>
          <cell r="P5" t="str">
            <v>NT</v>
          </cell>
          <cell r="Q5" t="str">
            <v>Assistant</v>
          </cell>
        </row>
        <row r="6">
          <cell r="P6" t="str">
            <v>T</v>
          </cell>
          <cell r="Q6" t="str">
            <v>Tenure</v>
          </cell>
        </row>
        <row r="7">
          <cell r="P7" t="str">
            <v>11A</v>
          </cell>
          <cell r="Q7" t="str">
            <v>Assistant</v>
          </cell>
        </row>
        <row r="8">
          <cell r="P8" t="str">
            <v>F</v>
          </cell>
          <cell r="Q8" t="str">
            <v>NA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Instructions and key"/>
      <sheetName val="FY18 OUTPUT"/>
      <sheetName val="Indirect cost OUTPUT"/>
      <sheetName val="References --&gt; "/>
      <sheetName val="FY17 Baseline Model Summary"/>
      <sheetName val="Other --&gt;"/>
      <sheetName val="FY18 Other inputs"/>
      <sheetName val="Bankable Plan (2)"/>
      <sheetName val="Indirect costs --&gt; "/>
      <sheetName val="FY18 Indirect expenses"/>
      <sheetName val="Indirect expense allocation"/>
      <sheetName val="Summary"/>
      <sheetName val="PhysicalPlantAllocation"/>
      <sheetName val="Red bar --&gt; "/>
      <sheetName val="FY18 Redbar Summary"/>
      <sheetName val="Sheet1"/>
      <sheetName val="Program to School mapping"/>
      <sheetName val="Notes"/>
      <sheetName val="Law"/>
      <sheetName val="Nursing"/>
      <sheetName val="LIM"/>
      <sheetName val="Counseling"/>
      <sheetName val="Design"/>
      <sheetName val="STUA"/>
      <sheetName val="Theatre"/>
      <sheetName val="Music"/>
      <sheetName val="MUIN"/>
      <sheetName val="CMMN"/>
      <sheetName val="Mkt"/>
      <sheetName val="Mgmt"/>
      <sheetName val="FIN"/>
      <sheetName val="Econ"/>
      <sheetName val="ACCT"/>
      <sheetName val="TEAC"/>
      <sheetName val="SOCI"/>
      <sheetName val="RELS"/>
      <sheetName val="Psychology"/>
      <sheetName val="POLS"/>
      <sheetName val="Physics"/>
      <sheetName val="Philosophy"/>
      <sheetName val="COSC"/>
      <sheetName val="Math"/>
      <sheetName val="Languages"/>
      <sheetName val="HIST"/>
      <sheetName val="English"/>
      <sheetName val="CRJU"/>
      <sheetName val="Classics"/>
      <sheetName val="Chemistry"/>
      <sheetName val="Biolog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P&amp;L/Programs</v>
          </cell>
          <cell r="C2" t="str">
            <v>ACCT</v>
          </cell>
          <cell r="D2" t="str">
            <v>Biology</v>
          </cell>
          <cell r="E2" t="str">
            <v>Chemistry</v>
          </cell>
          <cell r="F2" t="str">
            <v>Classics</v>
          </cell>
          <cell r="G2" t="str">
            <v>CMMN</v>
          </cell>
          <cell r="H2" t="str">
            <v>Counseling</v>
          </cell>
          <cell r="I2" t="str">
            <v>CRJU</v>
          </cell>
          <cell r="J2" t="str">
            <v>Design</v>
          </cell>
          <cell r="K2" t="str">
            <v>Econ</v>
          </cell>
          <cell r="L2" t="str">
            <v>English</v>
          </cell>
          <cell r="M2" t="str">
            <v>FIN</v>
          </cell>
          <cell r="N2" t="str">
            <v>HIST</v>
          </cell>
          <cell r="O2" t="str">
            <v>Languages</v>
          </cell>
          <cell r="P2" t="str">
            <v>Law</v>
          </cell>
          <cell r="Q2" t="str">
            <v>LIM</v>
          </cell>
          <cell r="R2" t="str">
            <v>Math</v>
          </cell>
          <cell r="S2" t="str">
            <v>Mgmt</v>
          </cell>
          <cell r="T2" t="str">
            <v>Mkt</v>
          </cell>
          <cell r="U2" t="str">
            <v>MUIN</v>
          </cell>
          <cell r="V2" t="str">
            <v>Music</v>
          </cell>
          <cell r="W2" t="str">
            <v>Nursing</v>
          </cell>
          <cell r="X2" t="str">
            <v>Philosophy</v>
          </cell>
          <cell r="Y2" t="str">
            <v>Physics</v>
          </cell>
          <cell r="Z2" t="str">
            <v>POLS</v>
          </cell>
          <cell r="AA2" t="str">
            <v>Psychology</v>
          </cell>
          <cell r="AB2" t="str">
            <v>RELS</v>
          </cell>
          <cell r="AC2" t="str">
            <v>SOCI</v>
          </cell>
          <cell r="AD2" t="str">
            <v>STUA</v>
          </cell>
          <cell r="AE2" t="str">
            <v>Theatre</v>
          </cell>
          <cell r="AF2" t="str">
            <v>Total/Average</v>
          </cell>
        </row>
        <row r="3">
          <cell r="C3" t="str">
            <v>Accounting</v>
          </cell>
          <cell r="D3" t="str">
            <v>Biology</v>
          </cell>
          <cell r="E3" t="str">
            <v>Chemistry</v>
          </cell>
          <cell r="F3" t="str">
            <v>Classics</v>
          </cell>
          <cell r="G3" t="str">
            <v>Communication</v>
          </cell>
          <cell r="H3" t="str">
            <v>Counseling</v>
          </cell>
          <cell r="I3" t="str">
            <v>Criminal Justice</v>
          </cell>
          <cell r="J3" t="str">
            <v>Design</v>
          </cell>
          <cell r="K3" t="str">
            <v>Economics</v>
          </cell>
          <cell r="L3" t="str">
            <v>English</v>
          </cell>
          <cell r="M3" t="str">
            <v>Finance</v>
          </cell>
          <cell r="N3" t="str">
            <v>History</v>
          </cell>
          <cell r="O3" t="str">
            <v>Languages</v>
          </cell>
          <cell r="P3" t="str">
            <v>Law</v>
          </cell>
          <cell r="Q3" t="str">
            <v>Loyola Institute of Ministry</v>
          </cell>
          <cell r="R3" t="str">
            <v>Math</v>
          </cell>
          <cell r="S3" t="str">
            <v>Management</v>
          </cell>
          <cell r="T3" t="str">
            <v>Marketing</v>
          </cell>
          <cell r="U3" t="str">
            <v>Music Industry</v>
          </cell>
          <cell r="V3" t="str">
            <v>Music</v>
          </cell>
          <cell r="W3" t="str">
            <v>Nursing</v>
          </cell>
          <cell r="X3" t="str">
            <v>Philosophy</v>
          </cell>
          <cell r="Y3" t="str">
            <v>Physics</v>
          </cell>
          <cell r="Z3" t="str">
            <v>Political Science</v>
          </cell>
          <cell r="AA3" t="str">
            <v>Psychology</v>
          </cell>
          <cell r="AB3" t="str">
            <v>Religious Studies</v>
          </cell>
          <cell r="AC3" t="str">
            <v>Sociology</v>
          </cell>
          <cell r="AD3" t="str">
            <v>Studio Art</v>
          </cell>
          <cell r="AE3" t="str">
            <v>Theatre</v>
          </cell>
        </row>
        <row r="4">
          <cell r="B4" t="str">
            <v>School</v>
          </cell>
          <cell r="C4" t="str">
            <v>Business</v>
          </cell>
          <cell r="D4" t="str">
            <v>CAS</v>
          </cell>
          <cell r="E4" t="str">
            <v>CAS</v>
          </cell>
          <cell r="F4" t="str">
            <v>CAS</v>
          </cell>
          <cell r="G4" t="str">
            <v>CAS</v>
          </cell>
          <cell r="H4" t="str">
            <v>GPS</v>
          </cell>
          <cell r="I4" t="str">
            <v>CAS</v>
          </cell>
          <cell r="J4" t="str">
            <v>CMFA</v>
          </cell>
          <cell r="K4" t="str">
            <v>Business</v>
          </cell>
          <cell r="L4" t="str">
            <v>CAS</v>
          </cell>
          <cell r="M4" t="str">
            <v>Business</v>
          </cell>
          <cell r="N4" t="str">
            <v>CAS</v>
          </cell>
          <cell r="O4" t="str">
            <v>CAS</v>
          </cell>
          <cell r="P4" t="str">
            <v>Law</v>
          </cell>
          <cell r="Q4" t="str">
            <v>GPS</v>
          </cell>
          <cell r="R4" t="str">
            <v>CAS</v>
          </cell>
          <cell r="S4" t="str">
            <v>Business</v>
          </cell>
          <cell r="T4" t="str">
            <v>Business</v>
          </cell>
          <cell r="U4" t="str">
            <v>CMFA</v>
          </cell>
          <cell r="V4" t="str">
            <v>CMFA</v>
          </cell>
          <cell r="W4" t="str">
            <v>GPS</v>
          </cell>
          <cell r="X4" t="str">
            <v>CAS</v>
          </cell>
          <cell r="Y4" t="str">
            <v>CAS</v>
          </cell>
          <cell r="Z4" t="str">
            <v>CAS</v>
          </cell>
          <cell r="AA4" t="str">
            <v>CAS</v>
          </cell>
          <cell r="AB4" t="str">
            <v>CAS</v>
          </cell>
          <cell r="AC4" t="str">
            <v>CAS</v>
          </cell>
          <cell r="AD4" t="str">
            <v>CMFA</v>
          </cell>
          <cell r="AE4" t="str">
            <v>CMFA</v>
          </cell>
        </row>
        <row r="6">
          <cell r="B6" t="str">
            <v>Net Revenue</v>
          </cell>
          <cell r="C6">
            <v>1000643.7403791959</v>
          </cell>
          <cell r="D6">
            <v>1788656.9580601412</v>
          </cell>
          <cell r="E6">
            <v>987576.64278824162</v>
          </cell>
          <cell r="F6">
            <v>378024.30628563021</v>
          </cell>
          <cell r="G6">
            <v>1727935.6862154484</v>
          </cell>
          <cell r="H6">
            <v>769528.95959935454</v>
          </cell>
          <cell r="I6">
            <v>1640491.8744485488</v>
          </cell>
          <cell r="J6">
            <v>399058.67162233981</v>
          </cell>
          <cell r="K6">
            <v>1089195.0777272186</v>
          </cell>
          <cell r="L6">
            <v>3103728.9836368421</v>
          </cell>
          <cell r="M6">
            <v>838848.39570673055</v>
          </cell>
          <cell r="N6">
            <v>2042237.2581207245</v>
          </cell>
          <cell r="O6">
            <v>1536861.8016069219</v>
          </cell>
          <cell r="P6">
            <v>12233614.282747841</v>
          </cell>
          <cell r="Q6">
            <v>354912.98269812972</v>
          </cell>
          <cell r="R6">
            <v>1909918.3488651626</v>
          </cell>
          <cell r="S6">
            <v>2836870.3192951912</v>
          </cell>
          <cell r="T6">
            <v>1158044.6347713161</v>
          </cell>
          <cell r="U6">
            <v>3573652.9750882266</v>
          </cell>
          <cell r="V6">
            <v>2621460.4347379953</v>
          </cell>
          <cell r="W6">
            <v>3457194.7266975944</v>
          </cell>
          <cell r="X6">
            <v>2688546.8873930727</v>
          </cell>
          <cell r="Y6">
            <v>647894.73815485288</v>
          </cell>
          <cell r="Z6">
            <v>953724.38936687144</v>
          </cell>
          <cell r="AA6">
            <v>2171023.4221252264</v>
          </cell>
          <cell r="AB6">
            <v>2194223.8599643079</v>
          </cell>
          <cell r="AC6">
            <v>1355256.531090318</v>
          </cell>
          <cell r="AD6">
            <v>976436.71838710643</v>
          </cell>
          <cell r="AE6">
            <v>597436.58348571346</v>
          </cell>
          <cell r="AF6">
            <v>57033000.191066265</v>
          </cell>
        </row>
        <row r="7">
          <cell r="B7" t="str">
            <v>Gross Revenue</v>
          </cell>
          <cell r="C7">
            <v>1959852.2963584499</v>
          </cell>
          <cell r="D7">
            <v>4025854.1093957117</v>
          </cell>
          <cell r="E7">
            <v>2444656.4475407461</v>
          </cell>
          <cell r="F7">
            <v>859959.0578934392</v>
          </cell>
          <cell r="G7">
            <v>3571020.479142203</v>
          </cell>
          <cell r="H7">
            <v>881811.89325674332</v>
          </cell>
          <cell r="I7">
            <v>3144224.2207720447</v>
          </cell>
          <cell r="J7">
            <v>880518.97435727343</v>
          </cell>
          <cell r="K7">
            <v>2086923.0851888303</v>
          </cell>
          <cell r="L7">
            <v>6673954.4851696379</v>
          </cell>
          <cell r="M7">
            <v>1637311.8127121502</v>
          </cell>
          <cell r="N7">
            <v>4554611.0936199035</v>
          </cell>
          <cell r="O7">
            <v>3939496.0109982677</v>
          </cell>
          <cell r="P7">
            <v>19036424.942938767</v>
          </cell>
          <cell r="Q7">
            <v>443851.10256410256</v>
          </cell>
          <cell r="R7">
            <v>4974469.8507929426</v>
          </cell>
          <cell r="S7">
            <v>5097202.1114085689</v>
          </cell>
          <cell r="T7">
            <v>2191938.4121256405</v>
          </cell>
          <cell r="U7">
            <v>7160903.0252141468</v>
          </cell>
          <cell r="V7">
            <v>6839358.2945261383</v>
          </cell>
          <cell r="W7">
            <v>3520280.8117647059</v>
          </cell>
          <cell r="X7">
            <v>5781695.1352896784</v>
          </cell>
          <cell r="Y7">
            <v>1536278.0155568602</v>
          </cell>
          <cell r="Z7">
            <v>1964146.4945646182</v>
          </cell>
          <cell r="AA7">
            <v>4411585.9728935091</v>
          </cell>
          <cell r="AB7">
            <v>4680421.1233170759</v>
          </cell>
          <cell r="AC7">
            <v>2880314.9624979524</v>
          </cell>
          <cell r="AD7">
            <v>2141334.5567492023</v>
          </cell>
          <cell r="AE7">
            <v>1470694.4124569511</v>
          </cell>
          <cell r="AF7">
            <v>110791093.19106628</v>
          </cell>
        </row>
        <row r="8">
          <cell r="B8" t="str">
            <v>Financial Aid</v>
          </cell>
          <cell r="C8">
            <v>959208.55597925396</v>
          </cell>
          <cell r="D8">
            <v>2237197.1513355705</v>
          </cell>
          <cell r="E8">
            <v>1457079.8047525045</v>
          </cell>
          <cell r="F8">
            <v>481934.75160780898</v>
          </cell>
          <cell r="G8">
            <v>1843084.7929267546</v>
          </cell>
          <cell r="H8">
            <v>112282.93365738873</v>
          </cell>
          <cell r="I8">
            <v>1503732.346323496</v>
          </cell>
          <cell r="J8">
            <v>481460.30273493362</v>
          </cell>
          <cell r="K8">
            <v>997728.00746161165</v>
          </cell>
          <cell r="L8">
            <v>3570225.5015327958</v>
          </cell>
          <cell r="M8">
            <v>798463.41700541961</v>
          </cell>
          <cell r="N8">
            <v>2512373.8354991791</v>
          </cell>
          <cell r="O8">
            <v>2402634.2093913457</v>
          </cell>
          <cell r="P8">
            <v>6802810.6601909269</v>
          </cell>
          <cell r="Q8">
            <v>88938.11986597284</v>
          </cell>
          <cell r="R8">
            <v>3064551.50192778</v>
          </cell>
          <cell r="S8">
            <v>2260331.7921133777</v>
          </cell>
          <cell r="T8">
            <v>1033893.7773543245</v>
          </cell>
          <cell r="U8">
            <v>3587250.0501259202</v>
          </cell>
          <cell r="V8">
            <v>4217897.8597881431</v>
          </cell>
          <cell r="W8">
            <v>63086.08506711154</v>
          </cell>
          <cell r="X8">
            <v>3093148.2478966056</v>
          </cell>
          <cell r="Y8">
            <v>888383.27740200737</v>
          </cell>
          <cell r="Z8">
            <v>1010422.1051977468</v>
          </cell>
          <cell r="AA8">
            <v>2240562.5507682827</v>
          </cell>
          <cell r="AB8">
            <v>2486197.263352768</v>
          </cell>
          <cell r="AC8">
            <v>1525058.4314076344</v>
          </cell>
          <cell r="AD8">
            <v>1164897.8383620959</v>
          </cell>
          <cell r="AE8">
            <v>873257.82897123764</v>
          </cell>
          <cell r="AF8">
            <v>53758093.000000007</v>
          </cell>
        </row>
        <row r="9">
          <cell r="B9" t="str">
            <v>Old Financial Aid</v>
          </cell>
          <cell r="C9">
            <v>1053410.4863584498</v>
          </cell>
          <cell r="D9">
            <v>2456907.7543957117</v>
          </cell>
          <cell r="E9">
            <v>1600176.6625407459</v>
          </cell>
          <cell r="F9">
            <v>529264.58789343922</v>
          </cell>
          <cell r="G9">
            <v>2024090.4191422029</v>
          </cell>
          <cell r="H9">
            <v>123310.01325674332</v>
          </cell>
          <cell r="I9">
            <v>1651410.8557720445</v>
          </cell>
          <cell r="J9">
            <v>528743.54435727349</v>
          </cell>
          <cell r="K9">
            <v>1095712.8551888303</v>
          </cell>
          <cell r="L9">
            <v>3920850.1201696377</v>
          </cell>
          <cell r="M9">
            <v>876878.89271215023</v>
          </cell>
          <cell r="N9">
            <v>2759108.9836199032</v>
          </cell>
          <cell r="O9">
            <v>2638592.0509982682</v>
          </cell>
          <cell r="P9">
            <v>7470900.9229387678</v>
          </cell>
          <cell r="Q9">
            <v>97672.552564102516</v>
          </cell>
          <cell r="R9">
            <v>3365514.9007929424</v>
          </cell>
          <cell r="S9">
            <v>2482314.401408569</v>
          </cell>
          <cell r="T9">
            <v>1135430.3921256405</v>
          </cell>
          <cell r="U9">
            <v>3939546.6152141467</v>
          </cell>
          <cell r="V9">
            <v>4632129.0695261387</v>
          </cell>
          <cell r="W9">
            <v>69281.641764706932</v>
          </cell>
          <cell r="X9">
            <v>3396920.0752896778</v>
          </cell>
          <cell r="Y9">
            <v>975629.60055686033</v>
          </cell>
          <cell r="Z9">
            <v>1109653.6145646183</v>
          </cell>
          <cell r="AA9">
            <v>2460603.662893509</v>
          </cell>
          <cell r="AB9">
            <v>2730361.6633170759</v>
          </cell>
          <cell r="AC9">
            <v>1674831.3324979525</v>
          </cell>
          <cell r="AD9">
            <v>1279300.0967492023</v>
          </cell>
          <cell r="AE9">
            <v>959018.71245695115</v>
          </cell>
          <cell r="AF9">
            <v>59037566.481066264</v>
          </cell>
        </row>
        <row r="11">
          <cell r="B11" t="str">
            <v>Total Salary and Benefit Costs</v>
          </cell>
          <cell r="C11">
            <v>550186.55809235433</v>
          </cell>
          <cell r="D11">
            <v>1251355.534</v>
          </cell>
          <cell r="E11">
            <v>880295.00490109716</v>
          </cell>
          <cell r="F11">
            <v>194281.88</v>
          </cell>
          <cell r="G11">
            <v>1078010.362</v>
          </cell>
          <cell r="H11">
            <v>551513.18299999996</v>
          </cell>
          <cell r="I11">
            <v>867935.9</v>
          </cell>
          <cell r="J11">
            <v>351486.40799999994</v>
          </cell>
          <cell r="K11">
            <v>783194.1</v>
          </cell>
          <cell r="L11">
            <v>1294342.92</v>
          </cell>
          <cell r="M11">
            <v>448624.8</v>
          </cell>
          <cell r="N11">
            <v>1095033.1469999999</v>
          </cell>
          <cell r="O11">
            <v>956477.6</v>
          </cell>
          <cell r="P11">
            <v>7820494.6689999998</v>
          </cell>
          <cell r="Q11">
            <v>704612.67500000005</v>
          </cell>
          <cell r="R11">
            <v>761863.40100000007</v>
          </cell>
          <cell r="S11">
            <v>1690643.5</v>
          </cell>
          <cell r="T11">
            <v>635514.1</v>
          </cell>
          <cell r="U11">
            <v>1487354.1410000001</v>
          </cell>
          <cell r="V11">
            <v>3461858.8030000003</v>
          </cell>
          <cell r="W11">
            <v>2413055.6579999998</v>
          </cell>
          <cell r="X11">
            <v>1031313.0099999999</v>
          </cell>
          <cell r="Y11">
            <v>417250.39200000005</v>
          </cell>
          <cell r="Z11">
            <v>550451.32999999996</v>
          </cell>
          <cell r="AA11">
            <v>876916.95</v>
          </cell>
          <cell r="AB11">
            <v>846893.19000000006</v>
          </cell>
          <cell r="AC11">
            <v>655038.397</v>
          </cell>
          <cell r="AD11">
            <v>484283.54</v>
          </cell>
          <cell r="AE11">
            <v>561054.80599999998</v>
          </cell>
          <cell r="AF11">
            <v>34701335.958993457</v>
          </cell>
        </row>
        <row r="12">
          <cell r="B12" t="str">
            <v>All Salaries</v>
          </cell>
          <cell r="C12">
            <v>423220.42930181103</v>
          </cell>
          <cell r="D12">
            <v>962581.18</v>
          </cell>
          <cell r="E12">
            <v>677150.00377007469</v>
          </cell>
          <cell r="F12">
            <v>149447.6</v>
          </cell>
          <cell r="G12">
            <v>829238.74</v>
          </cell>
          <cell r="H12">
            <v>424240.91</v>
          </cell>
          <cell r="I12">
            <v>667643</v>
          </cell>
          <cell r="J12">
            <v>270374.15999999997</v>
          </cell>
          <cell r="K12">
            <v>602457</v>
          </cell>
          <cell r="L12">
            <v>995648.4</v>
          </cell>
          <cell r="M12">
            <v>345096</v>
          </cell>
          <cell r="N12">
            <v>842333.19</v>
          </cell>
          <cell r="O12">
            <v>735752</v>
          </cell>
          <cell r="P12">
            <v>6015765.1299999999</v>
          </cell>
          <cell r="Q12">
            <v>542009.75</v>
          </cell>
          <cell r="R12">
            <v>586048.77</v>
          </cell>
          <cell r="S12">
            <v>1300495</v>
          </cell>
          <cell r="T12">
            <v>488857</v>
          </cell>
          <cell r="U12">
            <v>1144118.57</v>
          </cell>
          <cell r="V12">
            <v>2662968.31</v>
          </cell>
          <cell r="W12">
            <v>1856196.66</v>
          </cell>
          <cell r="X12">
            <v>793317.7</v>
          </cell>
          <cell r="Y12">
            <v>320961.84000000003</v>
          </cell>
          <cell r="Z12">
            <v>423424.1</v>
          </cell>
          <cell r="AA12">
            <v>674551.5</v>
          </cell>
          <cell r="AB12">
            <v>651456.30000000005</v>
          </cell>
          <cell r="AC12">
            <v>503875.69</v>
          </cell>
          <cell r="AD12">
            <v>372525.8</v>
          </cell>
          <cell r="AE12">
            <v>431580.62</v>
          </cell>
          <cell r="AF12">
            <v>26693335.353071891</v>
          </cell>
        </row>
        <row r="13">
          <cell r="B13" t="str">
            <v>All Benefits</v>
          </cell>
          <cell r="C13">
            <v>126966.1287905433</v>
          </cell>
          <cell r="D13">
            <v>288774.35399999999</v>
          </cell>
          <cell r="E13">
            <v>203145.00113102241</v>
          </cell>
          <cell r="F13">
            <v>44834.28</v>
          </cell>
          <cell r="G13">
            <v>248771.62199999997</v>
          </cell>
          <cell r="H13">
            <v>127272.27299999999</v>
          </cell>
          <cell r="I13">
            <v>200292.9</v>
          </cell>
          <cell r="J13">
            <v>81112.247999999992</v>
          </cell>
          <cell r="K13">
            <v>180737.1</v>
          </cell>
          <cell r="L13">
            <v>298694.52</v>
          </cell>
          <cell r="M13">
            <v>103528.8</v>
          </cell>
          <cell r="N13">
            <v>252699.95699999997</v>
          </cell>
          <cell r="O13">
            <v>220725.6</v>
          </cell>
          <cell r="P13">
            <v>1804729.5389999999</v>
          </cell>
          <cell r="Q13">
            <v>162602.92499999999</v>
          </cell>
          <cell r="R13">
            <v>175814.63099999999</v>
          </cell>
          <cell r="S13">
            <v>390148.5</v>
          </cell>
          <cell r="T13">
            <v>146657.1</v>
          </cell>
          <cell r="U13">
            <v>343235.571</v>
          </cell>
          <cell r="V13">
            <v>798890.49300000002</v>
          </cell>
          <cell r="W13">
            <v>556858.99799999991</v>
          </cell>
          <cell r="X13">
            <v>237995.30999999997</v>
          </cell>
          <cell r="Y13">
            <v>96288.552000000011</v>
          </cell>
          <cell r="Z13">
            <v>127027.23</v>
          </cell>
          <cell r="AA13">
            <v>202365.45</v>
          </cell>
          <cell r="AB13">
            <v>195436.89</v>
          </cell>
          <cell r="AC13">
            <v>151162.70699999999</v>
          </cell>
          <cell r="AD13">
            <v>111757.73999999999</v>
          </cell>
          <cell r="AE13">
            <v>129474.18599999999</v>
          </cell>
          <cell r="AF13">
            <v>8008000.6059215646</v>
          </cell>
        </row>
        <row r="15">
          <cell r="B15" t="str">
            <v>Total Direct Costs</v>
          </cell>
          <cell r="C15">
            <v>583278.54508478392</v>
          </cell>
          <cell r="D15">
            <v>1300561.814</v>
          </cell>
          <cell r="E15">
            <v>916266.60930478293</v>
          </cell>
          <cell r="F15">
            <v>201264.72</v>
          </cell>
          <cell r="G15">
            <v>1156335.852</v>
          </cell>
          <cell r="H15">
            <v>596031.21299999999</v>
          </cell>
          <cell r="I15">
            <v>909506.67</v>
          </cell>
          <cell r="J15">
            <v>359641.34799999994</v>
          </cell>
          <cell r="K15">
            <v>816025.1</v>
          </cell>
          <cell r="L15">
            <v>1327447.44</v>
          </cell>
          <cell r="M15">
            <v>474732.79999999999</v>
          </cell>
          <cell r="N15">
            <v>1119883.4569999999</v>
          </cell>
          <cell r="O15">
            <v>977186.02</v>
          </cell>
          <cell r="P15">
            <v>8820651.1089999992</v>
          </cell>
          <cell r="Q15">
            <v>842551.03500000003</v>
          </cell>
          <cell r="R15">
            <v>783627.46100000013</v>
          </cell>
          <cell r="S15">
            <v>1772413.5</v>
          </cell>
          <cell r="T15">
            <v>670063.1</v>
          </cell>
          <cell r="U15">
            <v>1532156.1410000001</v>
          </cell>
          <cell r="V15">
            <v>3718601.8030000003</v>
          </cell>
          <cell r="W15">
            <v>2602513.5079999999</v>
          </cell>
          <cell r="X15">
            <v>1053270.9099999999</v>
          </cell>
          <cell r="Y15">
            <v>433741.10200000007</v>
          </cell>
          <cell r="Z15">
            <v>570632.25</v>
          </cell>
          <cell r="AA15">
            <v>908558.66999999993</v>
          </cell>
          <cell r="AB15">
            <v>866611.89</v>
          </cell>
          <cell r="AC15">
            <v>673491.73699999996</v>
          </cell>
          <cell r="AD15">
            <v>499956.44999999995</v>
          </cell>
          <cell r="AE15">
            <v>585556.67599999998</v>
          </cell>
          <cell r="AF15">
            <v>37072558.930389576</v>
          </cell>
        </row>
        <row r="16">
          <cell r="B16" t="str">
            <v>All Faculty costs</v>
          </cell>
          <cell r="C16">
            <v>456340.14661356789</v>
          </cell>
          <cell r="D16">
            <v>1077468.7</v>
          </cell>
          <cell r="E16">
            <v>709966.5</v>
          </cell>
          <cell r="F16">
            <v>177030.90599999999</v>
          </cell>
          <cell r="G16">
            <v>844661.57099999988</v>
          </cell>
          <cell r="H16">
            <v>411167.04199999996</v>
          </cell>
          <cell r="I16">
            <v>737181.9360000001</v>
          </cell>
          <cell r="J16">
            <v>286409.65400000004</v>
          </cell>
          <cell r="K16">
            <v>686880.23741612572</v>
          </cell>
          <cell r="L16">
            <v>1181332.6979999999</v>
          </cell>
          <cell r="M16">
            <v>371973.43778308405</v>
          </cell>
          <cell r="N16">
            <v>997025.24899999995</v>
          </cell>
          <cell r="O16">
            <v>844694.56099999999</v>
          </cell>
          <cell r="P16">
            <v>6895983.5479999995</v>
          </cell>
          <cell r="Q16">
            <v>363480.18099999998</v>
          </cell>
          <cell r="R16">
            <v>679770.74700000009</v>
          </cell>
          <cell r="S16">
            <v>1450567.9506210701</v>
          </cell>
          <cell r="T16">
            <v>534078.85987031856</v>
          </cell>
          <cell r="U16">
            <v>1256637.9509999999</v>
          </cell>
          <cell r="V16">
            <v>2976006.9040000001</v>
          </cell>
          <cell r="W16">
            <v>2126171.4369999999</v>
          </cell>
          <cell r="X16">
            <v>936978.30199999991</v>
          </cell>
          <cell r="Y16">
            <v>363297.59200000006</v>
          </cell>
          <cell r="Z16">
            <v>477910.18599999999</v>
          </cell>
          <cell r="AA16">
            <v>769975.29500000004</v>
          </cell>
          <cell r="AB16">
            <v>785783.66099999996</v>
          </cell>
          <cell r="AC16">
            <v>573393.86</v>
          </cell>
          <cell r="AD16">
            <v>417797.28900000005</v>
          </cell>
          <cell r="AE16">
            <v>448556.79399999999</v>
          </cell>
          <cell r="AF16">
            <v>29838523.196304165</v>
          </cell>
        </row>
        <row r="17">
          <cell r="B17" t="str">
            <v xml:space="preserve">*Full-time faculty salary </v>
          </cell>
          <cell r="C17">
            <v>325030.28175121761</v>
          </cell>
          <cell r="D17">
            <v>789149</v>
          </cell>
          <cell r="E17">
            <v>509165</v>
          </cell>
          <cell r="F17">
            <v>128177.66</v>
          </cell>
          <cell r="G17">
            <v>540906.99</v>
          </cell>
          <cell r="H17">
            <v>303128.53999999998</v>
          </cell>
          <cell r="I17">
            <v>476140.34</v>
          </cell>
          <cell r="J17">
            <v>178003.54</v>
          </cell>
          <cell r="K17">
            <v>493038.28175121761</v>
          </cell>
          <cell r="L17">
            <v>801210.91</v>
          </cell>
          <cell r="M17">
            <v>241941.76291659268</v>
          </cell>
          <cell r="N17">
            <v>735795.88</v>
          </cell>
          <cell r="O17">
            <v>587188.24</v>
          </cell>
          <cell r="P17">
            <v>5135997.5299999993</v>
          </cell>
          <cell r="Q17">
            <v>234021.88</v>
          </cell>
          <cell r="R17">
            <v>479900.7</v>
          </cell>
          <cell r="S17">
            <v>1045803.8665746312</v>
          </cell>
          <cell r="T17">
            <v>394696.44878089876</v>
          </cell>
          <cell r="U17">
            <v>692466.47</v>
          </cell>
          <cell r="V17">
            <v>1779655.6099999999</v>
          </cell>
          <cell r="W17">
            <v>1269150.18</v>
          </cell>
          <cell r="X17">
            <v>713060.34</v>
          </cell>
          <cell r="Y17">
            <v>263305.92000000004</v>
          </cell>
          <cell r="Z17">
            <v>361469.42</v>
          </cell>
          <cell r="AA17">
            <v>549181.22</v>
          </cell>
          <cell r="AB17">
            <v>564756.80000000005</v>
          </cell>
          <cell r="AC17">
            <v>434918.38</v>
          </cell>
          <cell r="AD17">
            <v>314382.52</v>
          </cell>
          <cell r="AE17">
            <v>271790.88</v>
          </cell>
          <cell r="AF17">
            <v>20613434.591774561</v>
          </cell>
        </row>
        <row r="18">
          <cell r="B18" t="str">
            <v>*PT Faculty Salary</v>
          </cell>
          <cell r="C18">
            <v>14961.963601748921</v>
          </cell>
          <cell r="D18">
            <v>22750</v>
          </cell>
          <cell r="E18">
            <v>20000</v>
          </cell>
          <cell r="F18">
            <v>7999.96</v>
          </cell>
          <cell r="G18">
            <v>108832.68</v>
          </cell>
          <cell r="H18">
            <v>7000</v>
          </cell>
          <cell r="I18">
            <v>68999.98</v>
          </cell>
          <cell r="J18">
            <v>33100.04</v>
          </cell>
          <cell r="K18">
            <v>26906.959374647067</v>
          </cell>
          <cell r="L18">
            <v>94429.95</v>
          </cell>
          <cell r="M18">
            <v>37492.564963456542</v>
          </cell>
          <cell r="N18">
            <v>21915.85</v>
          </cell>
          <cell r="O18">
            <v>54499.93</v>
          </cell>
          <cell r="P18">
            <v>64000.03</v>
          </cell>
          <cell r="Q18">
            <v>29834.49</v>
          </cell>
          <cell r="R18">
            <v>32999.89</v>
          </cell>
          <cell r="S18">
            <v>49035.886335973926</v>
          </cell>
          <cell r="T18">
            <v>7268.4157241735365</v>
          </cell>
          <cell r="U18">
            <v>268389.59999999998</v>
          </cell>
          <cell r="V18">
            <v>429180.97</v>
          </cell>
          <cell r="W18">
            <v>297654.71000000002</v>
          </cell>
          <cell r="X18">
            <v>0</v>
          </cell>
          <cell r="Y18">
            <v>9999.92</v>
          </cell>
          <cell r="Z18">
            <v>0</v>
          </cell>
          <cell r="AA18">
            <v>30799.93</v>
          </cell>
          <cell r="AB18">
            <v>31999.97</v>
          </cell>
          <cell r="AC18">
            <v>0.02</v>
          </cell>
          <cell r="AD18">
            <v>7000.01</v>
          </cell>
          <cell r="AE18">
            <v>61868.2</v>
          </cell>
          <cell r="AF18">
            <v>1838921.9199999997</v>
          </cell>
        </row>
        <row r="19">
          <cell r="B19" t="str">
            <v>*Overload/Stipends</v>
          </cell>
          <cell r="C19">
            <v>11038.636657470299</v>
          </cell>
          <cell r="D19">
            <v>22000</v>
          </cell>
          <cell r="E19">
            <v>22052</v>
          </cell>
          <cell r="F19">
            <v>0</v>
          </cell>
          <cell r="G19">
            <v>0</v>
          </cell>
          <cell r="H19">
            <v>7999.94</v>
          </cell>
          <cell r="I19">
            <v>28499.52</v>
          </cell>
          <cell r="J19">
            <v>11975</v>
          </cell>
          <cell r="K19">
            <v>10951.423952501571</v>
          </cell>
          <cell r="L19">
            <v>16999.580000000002</v>
          </cell>
          <cell r="M19">
            <v>8708.8115390200219</v>
          </cell>
          <cell r="N19">
            <v>12000</v>
          </cell>
          <cell r="O19">
            <v>10499.94</v>
          </cell>
          <cell r="P19">
            <v>135986.72</v>
          </cell>
          <cell r="Q19">
            <v>20466.900000000001</v>
          </cell>
          <cell r="R19">
            <v>12999.98</v>
          </cell>
          <cell r="S19">
            <v>27276.271837283464</v>
          </cell>
          <cell r="T19">
            <v>11524.536013724635</v>
          </cell>
          <cell r="U19">
            <v>7525.06</v>
          </cell>
          <cell r="V19">
            <v>104519.35</v>
          </cell>
          <cell r="W19">
            <v>89325.08</v>
          </cell>
          <cell r="X19">
            <v>9999.86</v>
          </cell>
          <cell r="Y19">
            <v>8000</v>
          </cell>
          <cell r="Z19">
            <v>7999.94</v>
          </cell>
          <cell r="AA19">
            <v>15999.800000000001</v>
          </cell>
          <cell r="AB19">
            <v>9999.86</v>
          </cell>
          <cell r="AC19">
            <v>7999.94</v>
          </cell>
          <cell r="AD19">
            <v>0</v>
          </cell>
          <cell r="AE19">
            <v>14799.99</v>
          </cell>
          <cell r="AF19">
            <v>647148.13999999978</v>
          </cell>
        </row>
        <row r="20">
          <cell r="B20" t="str">
            <v>*Faculty Benefits</v>
          </cell>
          <cell r="C20">
            <v>105309.26460313106</v>
          </cell>
          <cell r="D20">
            <v>243569.69999999998</v>
          </cell>
          <cell r="E20">
            <v>158749.5</v>
          </cell>
          <cell r="F20">
            <v>40853.286</v>
          </cell>
          <cell r="G20">
            <v>194921.90099999998</v>
          </cell>
          <cell r="H20">
            <v>93038.561999999991</v>
          </cell>
          <cell r="I20">
            <v>163542.09600000002</v>
          </cell>
          <cell r="J20">
            <v>63331.074000000001</v>
          </cell>
          <cell r="K20">
            <v>155983.5723377594</v>
          </cell>
          <cell r="L20">
            <v>268692.25799999997</v>
          </cell>
          <cell r="M20">
            <v>83830.298364014772</v>
          </cell>
          <cell r="N20">
            <v>227313.519</v>
          </cell>
          <cell r="O20">
            <v>192506.451</v>
          </cell>
          <cell r="P20">
            <v>1559999.2679999999</v>
          </cell>
          <cell r="Q20">
            <v>79156.910999999993</v>
          </cell>
          <cell r="R20">
            <v>153870.177</v>
          </cell>
          <cell r="S20">
            <v>328451.92587318155</v>
          </cell>
          <cell r="T20">
            <v>120589.45935152168</v>
          </cell>
          <cell r="U20">
            <v>288256.821</v>
          </cell>
          <cell r="V20">
            <v>662650.97400000005</v>
          </cell>
          <cell r="W20">
            <v>470041.46699999995</v>
          </cell>
          <cell r="X20">
            <v>213918.10199999998</v>
          </cell>
          <cell r="Y20">
            <v>81991.752000000008</v>
          </cell>
          <cell r="Z20">
            <v>108440.82599999999</v>
          </cell>
          <cell r="AA20">
            <v>173994.345</v>
          </cell>
          <cell r="AB20">
            <v>179027.03099999999</v>
          </cell>
          <cell r="AC20">
            <v>130475.52</v>
          </cell>
          <cell r="AD20">
            <v>96414.759000000005</v>
          </cell>
          <cell r="AE20">
            <v>100097.724</v>
          </cell>
          <cell r="AF20">
            <v>6739018.5445296085</v>
          </cell>
        </row>
        <row r="21">
          <cell r="B21" t="str">
            <v>Other Direct Costs</v>
          </cell>
          <cell r="C21">
            <v>126938.39847121603</v>
          </cell>
          <cell r="D21">
            <v>223093.11400000006</v>
          </cell>
          <cell r="E21">
            <v>206300.10930478293</v>
          </cell>
          <cell r="F21">
            <v>24233.814000000013</v>
          </cell>
          <cell r="G21">
            <v>311674.28100000008</v>
          </cell>
          <cell r="H21">
            <v>184864.17100000003</v>
          </cell>
          <cell r="I21">
            <v>172324.73399999994</v>
          </cell>
          <cell r="J21">
            <v>73231.693999999901</v>
          </cell>
          <cell r="K21">
            <v>129144.86258387426</v>
          </cell>
          <cell r="L21">
            <v>146114.74200000009</v>
          </cell>
          <cell r="M21">
            <v>102759.36221691594</v>
          </cell>
          <cell r="N21">
            <v>122858.20799999998</v>
          </cell>
          <cell r="O21">
            <v>132491.45900000003</v>
          </cell>
          <cell r="P21">
            <v>1924667.5609999998</v>
          </cell>
          <cell r="Q21">
            <v>479070.85400000005</v>
          </cell>
          <cell r="R21">
            <v>103856.71400000004</v>
          </cell>
          <cell r="S21">
            <v>321845.54937892989</v>
          </cell>
          <cell r="T21">
            <v>135984.24012968142</v>
          </cell>
          <cell r="U21">
            <v>275518.19000000018</v>
          </cell>
          <cell r="V21">
            <v>742594.89900000021</v>
          </cell>
          <cell r="W21">
            <v>476342.071</v>
          </cell>
          <cell r="X21">
            <v>116292.60800000001</v>
          </cell>
          <cell r="Y21">
            <v>70443.510000000009</v>
          </cell>
          <cell r="Z21">
            <v>92722.064000000013</v>
          </cell>
          <cell r="AA21">
            <v>138583.37499999988</v>
          </cell>
          <cell r="AB21">
            <v>80828.22900000005</v>
          </cell>
          <cell r="AC21">
            <v>100097.87699999998</v>
          </cell>
          <cell r="AD21">
            <v>82159.160999999905</v>
          </cell>
          <cell r="AE21">
            <v>136999.88199999998</v>
          </cell>
          <cell r="AF21">
            <v>7234035.7340854025</v>
          </cell>
        </row>
        <row r="22">
          <cell r="B22" t="str">
            <v>*Academic FT staff salary</v>
          </cell>
          <cell r="C22">
            <v>64644.14220128391</v>
          </cell>
          <cell r="D22">
            <v>82270</v>
          </cell>
          <cell r="E22">
            <v>96521</v>
          </cell>
          <cell r="F22" t="str">
            <v>0</v>
          </cell>
          <cell r="G22">
            <v>126378.07</v>
          </cell>
          <cell r="H22">
            <v>82806.429999999993</v>
          </cell>
          <cell r="I22">
            <v>40278.19</v>
          </cell>
          <cell r="J22">
            <v>44500.58</v>
          </cell>
          <cell r="K22">
            <v>64133.409700822296</v>
          </cell>
          <cell r="L22">
            <v>32690.25</v>
          </cell>
          <cell r="M22">
            <v>51000.288260380868</v>
          </cell>
          <cell r="N22">
            <v>30270.46</v>
          </cell>
          <cell r="O22">
            <v>50302.29</v>
          </cell>
          <cell r="P22">
            <v>230248.34999999998</v>
          </cell>
          <cell r="Q22">
            <v>173685.61</v>
          </cell>
          <cell r="R22">
            <v>25585.200000000001</v>
          </cell>
          <cell r="S22">
            <v>159734.50799080005</v>
          </cell>
          <cell r="T22">
            <v>67489.651846712892</v>
          </cell>
          <cell r="U22">
            <v>155931.94</v>
          </cell>
          <cell r="V22">
            <v>285007.74</v>
          </cell>
          <cell r="W22">
            <v>105853.41</v>
          </cell>
          <cell r="X22">
            <v>0</v>
          </cell>
          <cell r="Y22">
            <v>21930</v>
          </cell>
          <cell r="Z22">
            <v>35567.78</v>
          </cell>
          <cell r="AA22">
            <v>41188.519999999997</v>
          </cell>
          <cell r="AB22">
            <v>11784.64</v>
          </cell>
          <cell r="AC22">
            <v>33238.35</v>
          </cell>
          <cell r="AD22">
            <v>18740.48</v>
          </cell>
          <cell r="AE22">
            <v>74480.549999999988</v>
          </cell>
          <cell r="AF22">
            <v>2206261.8399999994</v>
          </cell>
        </row>
        <row r="23">
          <cell r="B23" t="str">
            <v>*Student assistant salaries</v>
          </cell>
          <cell r="C23">
            <v>7545.405090090333</v>
          </cell>
          <cell r="D23">
            <v>1008</v>
          </cell>
          <cell r="E23">
            <v>1050</v>
          </cell>
          <cell r="F23">
            <v>0</v>
          </cell>
          <cell r="G23">
            <v>12660</v>
          </cell>
          <cell r="H23">
            <v>325</v>
          </cell>
          <cell r="I23">
            <v>12396.99</v>
          </cell>
          <cell r="J23">
            <v>1795</v>
          </cell>
          <cell r="K23">
            <v>7485.7912801234788</v>
          </cell>
          <cell r="L23">
            <v>2354.75</v>
          </cell>
          <cell r="M23">
            <v>5952.8647381186711</v>
          </cell>
          <cell r="N23">
            <v>1760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18644.559717476146</v>
          </cell>
          <cell r="T23">
            <v>7877.5391741913754</v>
          </cell>
          <cell r="U23">
            <v>14268</v>
          </cell>
          <cell r="V23">
            <v>23427.48</v>
          </cell>
          <cell r="W23">
            <v>0</v>
          </cell>
          <cell r="X23">
            <v>0</v>
          </cell>
          <cell r="Y23">
            <v>770</v>
          </cell>
          <cell r="Z23">
            <v>0</v>
          </cell>
          <cell r="AA23">
            <v>0</v>
          </cell>
          <cell r="AB23">
            <v>0</v>
          </cell>
          <cell r="AC23">
            <v>1821</v>
          </cell>
          <cell r="AD23">
            <v>628.92999999999995</v>
          </cell>
          <cell r="AE23">
            <v>2266</v>
          </cell>
          <cell r="AF23">
            <v>124037.31</v>
          </cell>
        </row>
        <row r="24">
          <cell r="B24" t="str">
            <v>Operating Expenses</v>
          </cell>
          <cell r="C24">
            <v>33091.986992429571</v>
          </cell>
          <cell r="D24">
            <v>49206.28</v>
          </cell>
          <cell r="E24">
            <v>35971.604403685829</v>
          </cell>
          <cell r="F24">
            <v>6982.84</v>
          </cell>
          <cell r="G24">
            <v>78325.489999999991</v>
          </cell>
          <cell r="H24">
            <v>44518.03</v>
          </cell>
          <cell r="I24">
            <v>41570.770000000004</v>
          </cell>
          <cell r="J24">
            <v>8154.94</v>
          </cell>
          <cell r="K24">
            <v>32831</v>
          </cell>
          <cell r="L24">
            <v>33104.520000000004</v>
          </cell>
          <cell r="M24">
            <v>26108</v>
          </cell>
          <cell r="N24">
            <v>24850.31</v>
          </cell>
          <cell r="O24">
            <v>20708.419999999998</v>
          </cell>
          <cell r="P24">
            <v>1000156.44</v>
          </cell>
          <cell r="Q24">
            <v>137938.35999999999</v>
          </cell>
          <cell r="R24">
            <v>21764.06</v>
          </cell>
          <cell r="S24">
            <v>81770</v>
          </cell>
          <cell r="T24">
            <v>34549</v>
          </cell>
          <cell r="U24">
            <v>44802</v>
          </cell>
          <cell r="V24">
            <v>256743</v>
          </cell>
          <cell r="W24">
            <v>189457.85</v>
          </cell>
          <cell r="X24">
            <v>21957.9</v>
          </cell>
          <cell r="Y24">
            <v>16490.71</v>
          </cell>
          <cell r="Z24">
            <v>20180.919999999998</v>
          </cell>
          <cell r="AA24">
            <v>31641.72</v>
          </cell>
          <cell r="AB24">
            <v>19718.7</v>
          </cell>
          <cell r="AC24">
            <v>18453.34</v>
          </cell>
          <cell r="AD24">
            <v>15672.91</v>
          </cell>
          <cell r="AE24">
            <v>24501.87</v>
          </cell>
          <cell r="AF24">
            <v>2371222.9713961156</v>
          </cell>
        </row>
        <row r="26">
          <cell r="B26" t="str">
            <v>Profitability - Only Faculty Costs</v>
          </cell>
          <cell r="C26">
            <v>544303.59376562806</v>
          </cell>
          <cell r="D26">
            <v>711188.25806014123</v>
          </cell>
          <cell r="E26">
            <v>277610.14278824162</v>
          </cell>
          <cell r="F26">
            <v>200993.40028563022</v>
          </cell>
          <cell r="G26">
            <v>883274.11521544855</v>
          </cell>
          <cell r="H26">
            <v>358361.91759935458</v>
          </cell>
          <cell r="I26">
            <v>903309.93844854867</v>
          </cell>
          <cell r="J26">
            <v>112649.01762233977</v>
          </cell>
          <cell r="K26">
            <v>402314.84031109291</v>
          </cell>
          <cell r="L26">
            <v>1922396.2856368423</v>
          </cell>
          <cell r="M26">
            <v>466874.95792364649</v>
          </cell>
          <cell r="N26">
            <v>1045212.0091207245</v>
          </cell>
          <cell r="O26">
            <v>692167.24060692196</v>
          </cell>
          <cell r="P26">
            <v>5337630.734747841</v>
          </cell>
          <cell r="Q26">
            <v>-8567.1983018702595</v>
          </cell>
          <cell r="R26">
            <v>1230147.6018651626</v>
          </cell>
          <cell r="S26">
            <v>1386302.3686741211</v>
          </cell>
          <cell r="T26">
            <v>623965.77490099752</v>
          </cell>
          <cell r="U26">
            <v>2317015.0240882267</v>
          </cell>
          <cell r="V26">
            <v>-354546.46926200483</v>
          </cell>
          <cell r="W26">
            <v>1331023.2896975945</v>
          </cell>
          <cell r="X26">
            <v>1751568.5853930728</v>
          </cell>
          <cell r="Y26">
            <v>284597.14615485282</v>
          </cell>
          <cell r="Z26">
            <v>475814.20336687146</v>
          </cell>
          <cell r="AA26">
            <v>1401048.1271252264</v>
          </cell>
          <cell r="AB26">
            <v>1408440.198964308</v>
          </cell>
          <cell r="AC26">
            <v>781862.67109031801</v>
          </cell>
          <cell r="AD26">
            <v>558639.42938710633</v>
          </cell>
          <cell r="AE26">
            <v>148879.78948571347</v>
          </cell>
          <cell r="AF26">
            <v>27194476.9947621</v>
          </cell>
        </row>
        <row r="27">
          <cell r="B27" t="str">
            <v>Profitability - Only Faculty Costs</v>
          </cell>
          <cell r="C27">
            <v>0.54395342897899224</v>
          </cell>
          <cell r="D27">
            <v>0.39761020404463071</v>
          </cell>
          <cell r="E27">
            <v>0.28110237804375393</v>
          </cell>
          <cell r="F27">
            <v>0.53169438298965421</v>
          </cell>
          <cell r="G27">
            <v>0.51117302701815781</v>
          </cell>
          <cell r="H27">
            <v>0.46568996933647716</v>
          </cell>
          <cell r="I27">
            <v>0.55063359503209741</v>
          </cell>
          <cell r="J27">
            <v>0.28228685562545119</v>
          </cell>
          <cell r="K27">
            <v>0.36936894826093758</v>
          </cell>
          <cell r="L27">
            <v>0.61938277980194167</v>
          </cell>
          <cell r="M27">
            <v>0.556566550419762</v>
          </cell>
          <cell r="N27">
            <v>0.51179754211444228</v>
          </cell>
          <cell r="O27">
            <v>0.45037702146230796</v>
          </cell>
          <cell r="P27">
            <v>0.43630856845593913</v>
          </cell>
          <cell r="Q27">
            <v>-2.4138869862523647E-2</v>
          </cell>
          <cell r="R27">
            <v>0.64408387018015356</v>
          </cell>
          <cell r="S27">
            <v>0.488673154794944</v>
          </cell>
          <cell r="T27">
            <v>0.53880978000836266</v>
          </cell>
          <cell r="U27">
            <v>0.64836038648409167</v>
          </cell>
          <cell r="V27">
            <v>-0.13524769039569365</v>
          </cell>
          <cell r="W27">
            <v>0.38500096029274689</v>
          </cell>
          <cell r="X27">
            <v>0.65149266825376695</v>
          </cell>
          <cell r="Y27">
            <v>0.43926448139609903</v>
          </cell>
          <cell r="Z27">
            <v>0.49890115915221589</v>
          </cell>
          <cell r="AA27">
            <v>0.64533994099139336</v>
          </cell>
          <cell r="AB27">
            <v>0.64188537216399533</v>
          </cell>
          <cell r="AC27">
            <v>0.57691119958027526</v>
          </cell>
          <cell r="AD27">
            <v>0.57212046502089331</v>
          </cell>
          <cell r="AE27">
            <v>0.24919764473926567</v>
          </cell>
        </row>
        <row r="29">
          <cell r="B29" t="str">
            <v>Direct Program Profitability</v>
          </cell>
          <cell r="C29">
            <v>417365.19529441197</v>
          </cell>
          <cell r="D29">
            <v>488095.14406014117</v>
          </cell>
          <cell r="E29">
            <v>71310.033483458683</v>
          </cell>
          <cell r="F29">
            <v>176759.58628563021</v>
          </cell>
          <cell r="G29">
            <v>571599.83421544847</v>
          </cell>
          <cell r="H29">
            <v>173497.74659935455</v>
          </cell>
          <cell r="I29">
            <v>730985.20444854873</v>
          </cell>
          <cell r="J29">
            <v>39417.323622339871</v>
          </cell>
          <cell r="K29">
            <v>273169.97772721865</v>
          </cell>
          <cell r="L29">
            <v>1776281.5436368422</v>
          </cell>
          <cell r="M29">
            <v>364115.59570673056</v>
          </cell>
          <cell r="N29">
            <v>922353.80112072453</v>
          </cell>
          <cell r="O29">
            <v>559675.78160692193</v>
          </cell>
          <cell r="P29">
            <v>3412963.1737478413</v>
          </cell>
          <cell r="Q29">
            <v>-487638.05230187031</v>
          </cell>
          <cell r="R29">
            <v>1126290.8878651625</v>
          </cell>
          <cell r="S29">
            <v>1064456.8192951912</v>
          </cell>
          <cell r="T29">
            <v>487981.5347713161</v>
          </cell>
          <cell r="U29">
            <v>2041496.8340882265</v>
          </cell>
          <cell r="V29">
            <v>-1097141.368262005</v>
          </cell>
          <cell r="W29">
            <v>854681.21869759448</v>
          </cell>
          <cell r="X29">
            <v>1635275.9773930728</v>
          </cell>
          <cell r="Y29">
            <v>214153.63615485281</v>
          </cell>
          <cell r="Z29">
            <v>383092.13936687144</v>
          </cell>
          <cell r="AA29">
            <v>1262464.7521252264</v>
          </cell>
          <cell r="AB29">
            <v>1327611.9699643077</v>
          </cell>
          <cell r="AC29">
            <v>681764.79409031803</v>
          </cell>
          <cell r="AD29">
            <v>476480.26838710648</v>
          </cell>
          <cell r="AE29">
            <v>11879.907485713484</v>
          </cell>
          <cell r="AF29">
            <v>19960441.260676689</v>
          </cell>
        </row>
        <row r="30">
          <cell r="B30" t="str">
            <v>Direct Program Profitability, %</v>
          </cell>
          <cell r="C30">
            <v>0.41709669331089866</v>
          </cell>
          <cell r="D30">
            <v>0.27288359674596119</v>
          </cell>
          <cell r="E30">
            <v>7.2207087930034344E-2</v>
          </cell>
          <cell r="F30">
            <v>0.46758788613998009</v>
          </cell>
          <cell r="G30">
            <v>0.33079925299035595</v>
          </cell>
          <cell r="H30">
            <v>0.22545967170577172</v>
          </cell>
          <cell r="I30">
            <v>0.44558904303885649</v>
          </cell>
          <cell r="J30">
            <v>9.8775760120916614E-2</v>
          </cell>
          <cell r="K30">
            <v>0.25079986433397394</v>
          </cell>
          <cell r="L30">
            <v>0.57230562107760352</v>
          </cell>
          <cell r="M30">
            <v>0.43406603335035626</v>
          </cell>
          <cell r="N30">
            <v>0.45163890603458995</v>
          </cell>
          <cell r="O30">
            <v>0.36416793040319728</v>
          </cell>
          <cell r="P30">
            <v>0.27898240821282799</v>
          </cell>
          <cell r="Q30">
            <v>-1.3739651015151213</v>
          </cell>
          <cell r="R30">
            <v>0.58970630264607027</v>
          </cell>
          <cell r="S30">
            <v>0.37522223418363765</v>
          </cell>
          <cell r="T30">
            <v>0.42138404696955384</v>
          </cell>
          <cell r="U30">
            <v>0.57126331188825796</v>
          </cell>
          <cell r="V30">
            <v>-0.41852295526697891</v>
          </cell>
          <cell r="W30">
            <v>0.24721813095960871</v>
          </cell>
          <cell r="X30">
            <v>0.6082378496209544</v>
          </cell>
          <cell r="Y30">
            <v>0.33053769932557792</v>
          </cell>
          <cell r="Z30">
            <v>0.40168013279096976</v>
          </cell>
          <cell r="AA30">
            <v>0.58150673975197975</v>
          </cell>
          <cell r="AB30">
            <v>0.60504855233225985</v>
          </cell>
          <cell r="AC30">
            <v>0.5030522107440657</v>
          </cell>
          <cell r="AD30">
            <v>0.48797864665942109</v>
          </cell>
          <cell r="AE30">
            <v>1.9884800854344683E-2</v>
          </cell>
          <cell r="AF30">
            <v>0.34998055851537202</v>
          </cell>
        </row>
        <row r="31">
          <cell r="V31">
            <v>3335281.0175004425</v>
          </cell>
        </row>
        <row r="32">
          <cell r="B32" t="str">
            <v>Total Indirect Costs</v>
          </cell>
          <cell r="C32">
            <v>811501.71220910002</v>
          </cell>
          <cell r="D32">
            <v>2330286.5372286919</v>
          </cell>
          <cell r="E32">
            <v>1182867.0484819983</v>
          </cell>
          <cell r="F32">
            <v>337707.92500960466</v>
          </cell>
          <cell r="G32">
            <v>1592840.9940286528</v>
          </cell>
          <cell r="H32">
            <v>1291907.1629616644</v>
          </cell>
          <cell r="I32">
            <v>1307540.7230944743</v>
          </cell>
          <cell r="J32">
            <v>520651.02355461207</v>
          </cell>
          <cell r="K32">
            <v>861748.32632250641</v>
          </cell>
          <cell r="L32">
            <v>2686616.4295219304</v>
          </cell>
          <cell r="M32">
            <v>579274.21869978169</v>
          </cell>
          <cell r="N32">
            <v>1976601.8597159781</v>
          </cell>
          <cell r="O32">
            <v>1472292.2109984308</v>
          </cell>
          <cell r="P32">
            <v>7917499.7285282956</v>
          </cell>
          <cell r="Q32">
            <v>1991542.6988601396</v>
          </cell>
          <cell r="R32">
            <v>1464132.0957595559</v>
          </cell>
          <cell r="S32">
            <v>3454982.3482818524</v>
          </cell>
          <cell r="T32">
            <v>843643.58884567569</v>
          </cell>
          <cell r="U32">
            <v>4925754.7564199846</v>
          </cell>
          <cell r="V32">
            <v>5643521.3783199489</v>
          </cell>
          <cell r="W32">
            <v>4841048.036346999</v>
          </cell>
          <cell r="X32">
            <v>2140631.0363418609</v>
          </cell>
          <cell r="Y32">
            <v>781567.30607413349</v>
          </cell>
          <cell r="Z32">
            <v>753169.99107020232</v>
          </cell>
          <cell r="AA32">
            <v>1854067.2852020757</v>
          </cell>
          <cell r="AB32">
            <v>1743059.5992776179</v>
          </cell>
          <cell r="AC32">
            <v>1159506.3529901118</v>
          </cell>
          <cell r="AD32">
            <v>800656.71260158601</v>
          </cell>
          <cell r="AE32">
            <v>914822.17389778839</v>
          </cell>
          <cell r="AF32">
            <v>58181441.260645255</v>
          </cell>
        </row>
        <row r="33">
          <cell r="B33" t="str">
            <v>Non-academic staff and management salaries</v>
          </cell>
          <cell r="C33">
            <v>344996.40060768387</v>
          </cell>
          <cell r="D33">
            <v>929183.55520138587</v>
          </cell>
          <cell r="E33">
            <v>472822.14529415651</v>
          </cell>
          <cell r="F33">
            <v>134746.89568466137</v>
          </cell>
          <cell r="G33">
            <v>636288.23414881143</v>
          </cell>
          <cell r="H33">
            <v>183324.68304119873</v>
          </cell>
          <cell r="I33">
            <v>521927.36269546842</v>
          </cell>
          <cell r="J33">
            <v>209943.93907200368</v>
          </cell>
          <cell r="K33">
            <v>366647.75669739337</v>
          </cell>
          <cell r="L33">
            <v>1072738.9565104658</v>
          </cell>
          <cell r="M33">
            <v>246457.4513833361</v>
          </cell>
          <cell r="N33">
            <v>788601.97610881028</v>
          </cell>
          <cell r="O33">
            <v>587931.33523280616</v>
          </cell>
          <cell r="P33">
            <v>3980561.4836531375</v>
          </cell>
          <cell r="Q33">
            <v>281356.25751712895</v>
          </cell>
          <cell r="R33">
            <v>583950.07098344807</v>
          </cell>
          <cell r="S33">
            <v>1468588.9446550405</v>
          </cell>
          <cell r="T33">
            <v>358767.53212667897</v>
          </cell>
          <cell r="U33">
            <v>1983233.3154513701</v>
          </cell>
          <cell r="V33">
            <v>2275984.9735240345</v>
          </cell>
          <cell r="W33">
            <v>688670.92201362131</v>
          </cell>
          <cell r="X33">
            <v>853505.43123044376</v>
          </cell>
          <cell r="Y33">
            <v>311761.46658741182</v>
          </cell>
          <cell r="Z33">
            <v>300474.36107447621</v>
          </cell>
          <cell r="AA33">
            <v>739602.46516844351</v>
          </cell>
          <cell r="AB33">
            <v>695480.14361787634</v>
          </cell>
          <cell r="AC33">
            <v>462870.21184468287</v>
          </cell>
          <cell r="AD33">
            <v>323112.61081589863</v>
          </cell>
          <cell r="AE33">
            <v>369133.76498624095</v>
          </cell>
          <cell r="AF33">
            <v>22172664.646928117</v>
          </cell>
        </row>
        <row r="34">
          <cell r="B34" t="str">
            <v>Old Non-academic staff and management salaries</v>
          </cell>
          <cell r="C34">
            <v>327463.07935864298</v>
          </cell>
          <cell r="D34">
            <v>881960.81970624649</v>
          </cell>
          <cell r="E34">
            <v>448792.49584708782</v>
          </cell>
          <cell r="F34">
            <v>127898.82247233595</v>
          </cell>
          <cell r="G34">
            <v>603950.95179842983</v>
          </cell>
          <cell r="H34">
            <v>174007.80160423819</v>
          </cell>
          <cell r="I34">
            <v>495402.1001052346</v>
          </cell>
          <cell r="J34">
            <v>199274.22042695494</v>
          </cell>
          <cell r="K34">
            <v>348014.07561523659</v>
          </cell>
          <cell r="L34">
            <v>1018220.4841213949</v>
          </cell>
          <cell r="M34">
            <v>233932.05209884379</v>
          </cell>
          <cell r="N34">
            <v>748523.8426546948</v>
          </cell>
          <cell r="O34">
            <v>558051.63516968396</v>
          </cell>
          <cell r="P34">
            <v>2963949.3781508328</v>
          </cell>
          <cell r="Q34">
            <v>267057.23978886742</v>
          </cell>
          <cell r="R34">
            <v>554272.70574161201</v>
          </cell>
          <cell r="S34">
            <v>1393952.6826416645</v>
          </cell>
          <cell r="T34">
            <v>340534.33785733982</v>
          </cell>
          <cell r="U34">
            <v>1882441.925250313</v>
          </cell>
          <cell r="V34">
            <v>2160315.4313824465</v>
          </cell>
          <cell r="W34">
            <v>653671.45973149489</v>
          </cell>
          <cell r="X34">
            <v>810128.79052577191</v>
          </cell>
          <cell r="Y34">
            <v>295917.20288749813</v>
          </cell>
          <cell r="Z34">
            <v>285203.72784311674</v>
          </cell>
          <cell r="AA34">
            <v>702014.57267003099</v>
          </cell>
          <cell r="AB34">
            <v>660134.62476926693</v>
          </cell>
          <cell r="AC34">
            <v>439346.33708370174</v>
          </cell>
          <cell r="AD34">
            <v>306691.46208775946</v>
          </cell>
          <cell r="AE34">
            <v>350373.74060925742</v>
          </cell>
          <cell r="AF34">
            <v>20231498</v>
          </cell>
        </row>
        <row r="35">
          <cell r="B35" t="str">
            <v>Non-academic staff and management benefits</v>
          </cell>
          <cell r="C35">
            <v>104961.28356497694</v>
          </cell>
          <cell r="D35">
            <v>275091.32882037677</v>
          </cell>
          <cell r="E35">
            <v>140142.05175762149</v>
          </cell>
          <cell r="F35">
            <v>39904.91949730456</v>
          </cell>
          <cell r="G35">
            <v>188536.26359809545</v>
          </cell>
          <cell r="H35">
            <v>64079.701659476894</v>
          </cell>
          <cell r="I35">
            <v>154596.58080354944</v>
          </cell>
          <cell r="J35">
            <v>97722.255337223382</v>
          </cell>
          <cell r="K35">
            <v>111586.09083091695</v>
          </cell>
          <cell r="L35">
            <v>317794.00790281995</v>
          </cell>
          <cell r="M35">
            <v>75006.408069617144</v>
          </cell>
          <cell r="N35">
            <v>233532.60556420265</v>
          </cell>
          <cell r="O35">
            <v>174180.17479369836</v>
          </cell>
          <cell r="P35">
            <v>1392485.2805108367</v>
          </cell>
          <cell r="Q35">
            <v>98347.838134967067</v>
          </cell>
          <cell r="R35">
            <v>172901.59224274647</v>
          </cell>
          <cell r="S35">
            <v>446770.66907802934</v>
          </cell>
          <cell r="T35">
            <v>109164.82700609602</v>
          </cell>
          <cell r="U35">
            <v>924071.98042954528</v>
          </cell>
          <cell r="V35">
            <v>1059296.0439764077</v>
          </cell>
          <cell r="W35">
            <v>240716.80000275065</v>
          </cell>
          <cell r="X35">
            <v>252678.80710661819</v>
          </cell>
          <cell r="Y35">
            <v>92315.326075638222</v>
          </cell>
          <cell r="Z35">
            <v>88978.65677957634</v>
          </cell>
          <cell r="AA35">
            <v>219006.756732045</v>
          </cell>
          <cell r="AB35">
            <v>205963.41312016666</v>
          </cell>
          <cell r="AC35">
            <v>137108.23070317341</v>
          </cell>
          <cell r="AD35">
            <v>150316.83050418686</v>
          </cell>
          <cell r="AE35">
            <v>171742.66947576977</v>
          </cell>
          <cell r="AF35">
            <v>7738999.3940784326</v>
          </cell>
        </row>
        <row r="36">
          <cell r="B36" t="str">
            <v>Old Non-academic staff and management benefits</v>
          </cell>
          <cell r="C36">
            <v>92397.707139796199</v>
          </cell>
          <cell r="D36">
            <v>242163.65476616431</v>
          </cell>
          <cell r="E36">
            <v>123367.43431929196</v>
          </cell>
          <cell r="F36">
            <v>35128.41059023972</v>
          </cell>
          <cell r="G36">
            <v>165968.9923512043</v>
          </cell>
          <cell r="H36">
            <v>56409.537940459159</v>
          </cell>
          <cell r="I36">
            <v>136091.79606742683</v>
          </cell>
          <cell r="J36">
            <v>86025.170643987978</v>
          </cell>
          <cell r="K36">
            <v>98229.54323045323</v>
          </cell>
          <cell r="L36">
            <v>279754.94082834094</v>
          </cell>
          <cell r="M36">
            <v>66028.347701504725</v>
          </cell>
          <cell r="N36">
            <v>205579.39616998698</v>
          </cell>
          <cell r="O36">
            <v>153331.28781893806</v>
          </cell>
          <cell r="P36">
            <v>961789.57767469692</v>
          </cell>
          <cell r="Q36">
            <v>86575.872904615651</v>
          </cell>
          <cell r="R36">
            <v>152205.74807624074</v>
          </cell>
          <cell r="S36">
            <v>393293.45105204964</v>
          </cell>
          <cell r="T36">
            <v>96098.098013746319</v>
          </cell>
          <cell r="U36">
            <v>813463.11062368308</v>
          </cell>
          <cell r="V36">
            <v>932501.2263696806</v>
          </cell>
          <cell r="W36">
            <v>211903.66233006475</v>
          </cell>
          <cell r="X36">
            <v>222433.85014453725</v>
          </cell>
          <cell r="Y36">
            <v>81265.435916389426</v>
          </cell>
          <cell r="Z36">
            <v>78328.156740977851</v>
          </cell>
          <cell r="AA36">
            <v>192792.25141751466</v>
          </cell>
          <cell r="AB36">
            <v>181310.16009545117</v>
          </cell>
          <cell r="AC36">
            <v>120696.75328546192</v>
          </cell>
          <cell r="AD36">
            <v>132324.32008617933</v>
          </cell>
          <cell r="AE36">
            <v>151185.54517109555</v>
          </cell>
          <cell r="AF36">
            <v>6548643.4394701794</v>
          </cell>
        </row>
        <row r="37">
          <cell r="B37" t="str">
            <v>Operating expenses</v>
          </cell>
          <cell r="C37">
            <v>247848.74350046369</v>
          </cell>
          <cell r="D37">
            <v>763960.71167038288</v>
          </cell>
          <cell r="E37">
            <v>386861.5068226569</v>
          </cell>
          <cell r="F37">
            <v>110643.3900060897</v>
          </cell>
          <cell r="G37">
            <v>521273.5383526074</v>
          </cell>
          <cell r="H37">
            <v>970318.62097510416</v>
          </cell>
          <cell r="I37">
            <v>428219.87136284757</v>
          </cell>
          <cell r="J37">
            <v>133962.57464520348</v>
          </cell>
          <cell r="K37">
            <v>262965.2232046334</v>
          </cell>
          <cell r="L37">
            <v>879603.9299112591</v>
          </cell>
          <cell r="M37">
            <v>176772.23090735657</v>
          </cell>
          <cell r="N37">
            <v>647651.27970297472</v>
          </cell>
          <cell r="O37">
            <v>481983.78236425918</v>
          </cell>
          <cell r="P37">
            <v>1636503.3871479491</v>
          </cell>
          <cell r="Q37">
            <v>1497336.969136352</v>
          </cell>
          <cell r="R37">
            <v>479889.86346141039</v>
          </cell>
          <cell r="S37">
            <v>1055409.8383512413</v>
          </cell>
          <cell r="T37">
            <v>257581.0227304865</v>
          </cell>
          <cell r="U37">
            <v>1268947.5670909188</v>
          </cell>
          <cell r="V37">
            <v>1451897.1538889683</v>
          </cell>
          <cell r="W37">
            <v>3633872.8992764172</v>
          </cell>
          <cell r="X37">
            <v>701827.61452189169</v>
          </cell>
          <cell r="Y37">
            <v>256134.90828580459</v>
          </cell>
          <cell r="Z37">
            <v>246796.29053730966</v>
          </cell>
          <cell r="AA37">
            <v>607591.27905092598</v>
          </cell>
          <cell r="AB37">
            <v>571085.77330681041</v>
          </cell>
          <cell r="AC37">
            <v>379711.96397755673</v>
          </cell>
          <cell r="AD37">
            <v>205871.66615622171</v>
          </cell>
          <cell r="AE37">
            <v>235253.61929260177</v>
          </cell>
          <cell r="AF37">
            <v>20497777.219638705</v>
          </cell>
        </row>
        <row r="38">
          <cell r="B38" t="str">
            <v>Old Operating Expenses</v>
          </cell>
          <cell r="C38">
            <v>229657.3333500108</v>
          </cell>
          <cell r="D38">
            <v>707888.11493840953</v>
          </cell>
          <cell r="E38">
            <v>358466.94551627687</v>
          </cell>
          <cell r="F38">
            <v>102522.47214461371</v>
          </cell>
          <cell r="G38">
            <v>483013.50683974894</v>
          </cell>
          <cell r="H38">
            <v>899099.92621199379</v>
          </cell>
          <cell r="I38">
            <v>396789.72084235016</v>
          </cell>
          <cell r="J38">
            <v>124130.09332710877</v>
          </cell>
          <cell r="K38">
            <v>243664.30538250238</v>
          </cell>
          <cell r="L38">
            <v>815043.44179671677</v>
          </cell>
          <cell r="M38">
            <v>163797.63958916307</v>
          </cell>
          <cell r="N38">
            <v>600115.47259277874</v>
          </cell>
          <cell r="O38">
            <v>446607.50993688474</v>
          </cell>
          <cell r="P38">
            <v>1516388.5787863806</v>
          </cell>
          <cell r="Q38">
            <v>1387436.589758619</v>
          </cell>
          <cell r="R38">
            <v>444667.27887221309</v>
          </cell>
          <cell r="S38">
            <v>977945.68430668116</v>
          </cell>
          <cell r="T38">
            <v>238675.29028542916</v>
          </cell>
          <cell r="U38">
            <v>1175810.336188124</v>
          </cell>
          <cell r="V38">
            <v>1345331.9308838332</v>
          </cell>
          <cell r="W38">
            <v>3367156.7101534773</v>
          </cell>
          <cell r="X38">
            <v>650315.41474082728</v>
          </cell>
          <cell r="Y38">
            <v>237335.31662893994</v>
          </cell>
          <cell r="Z38">
            <v>228682.1275144653</v>
          </cell>
          <cell r="AA38">
            <v>562995.76484759094</v>
          </cell>
          <cell r="AB38">
            <v>529169.66194555466</v>
          </cell>
          <cell r="AC38">
            <v>351842.15928057709</v>
          </cell>
          <cell r="AD38">
            <v>190761.25702316943</v>
          </cell>
          <cell r="AE38">
            <v>217986.6563155544</v>
          </cell>
          <cell r="AF38">
            <v>18993297.239999995</v>
          </cell>
        </row>
        <row r="39">
          <cell r="B39" t="str">
            <v>Endowment Draw/Debt Service</v>
          </cell>
          <cell r="C39">
            <v>113695.28453597552</v>
          </cell>
          <cell r="D39">
            <v>362050.94153654616</v>
          </cell>
          <cell r="E39">
            <v>183041.34460756343</v>
          </cell>
          <cell r="F39">
            <v>52412.719821548992</v>
          </cell>
          <cell r="G39">
            <v>246742.95792913836</v>
          </cell>
          <cell r="H39">
            <v>74184.157285884736</v>
          </cell>
          <cell r="I39">
            <v>202796.90823260881</v>
          </cell>
          <cell r="J39">
            <v>79022.25450018156</v>
          </cell>
          <cell r="K39">
            <v>120549.25558956269</v>
          </cell>
          <cell r="L39">
            <v>416479.53519738547</v>
          </cell>
          <cell r="M39">
            <v>81038.128339471907</v>
          </cell>
          <cell r="N39">
            <v>306815.99833999062</v>
          </cell>
          <cell r="O39">
            <v>228196.91860766718</v>
          </cell>
          <cell r="P39">
            <v>907949.57721637178</v>
          </cell>
          <cell r="Q39">
            <v>114501.63407169166</v>
          </cell>
          <cell r="R39">
            <v>227390.56907195103</v>
          </cell>
          <cell r="S39">
            <v>484212.89619754109</v>
          </cell>
          <cell r="T39">
            <v>118130.20698241427</v>
          </cell>
          <cell r="U39">
            <v>749501.8934481506</v>
          </cell>
          <cell r="V39">
            <v>856343.20693053899</v>
          </cell>
          <cell r="W39">
            <v>277787.4150542097</v>
          </cell>
          <cell r="X39">
            <v>332619.18348290707</v>
          </cell>
          <cell r="Y39">
            <v>121355.60512527883</v>
          </cell>
          <cell r="Z39">
            <v>116920.68267884006</v>
          </cell>
          <cell r="AA39">
            <v>287866.78425066138</v>
          </cell>
          <cell r="AB39">
            <v>270530.26923276443</v>
          </cell>
          <cell r="AC39">
            <v>179815.94646469885</v>
          </cell>
          <cell r="AD39">
            <v>121355.60512527883</v>
          </cell>
          <cell r="AE39">
            <v>138692.12014317582</v>
          </cell>
          <cell r="AF39">
            <v>7772000</v>
          </cell>
        </row>
        <row r="41">
          <cell r="B41" t="str">
            <v>Non-tuition revenues</v>
          </cell>
          <cell r="C41">
            <v>267538.34267093957</v>
          </cell>
          <cell r="D41">
            <v>831834.78686073597</v>
          </cell>
          <cell r="E41">
            <v>381732.18283085286</v>
          </cell>
          <cell r="F41">
            <v>117468.13395392346</v>
          </cell>
          <cell r="G41">
            <v>528351.6019446291</v>
          </cell>
          <cell r="H41">
            <v>40184.465266612337</v>
          </cell>
          <cell r="I41">
            <v>447393.30937151687</v>
          </cell>
          <cell r="J41">
            <v>168785.6518309552</v>
          </cell>
          <cell r="K41">
            <v>272825.59954310255</v>
          </cell>
          <cell r="L41">
            <v>907776.07514040009</v>
          </cell>
          <cell r="M41">
            <v>183634.73970477856</v>
          </cell>
          <cell r="N41">
            <v>689997.53996053478</v>
          </cell>
          <cell r="O41">
            <v>495385.91238493944</v>
          </cell>
          <cell r="P41">
            <v>607470.10556185897</v>
          </cell>
          <cell r="Q41">
            <v>82359.712552674129</v>
          </cell>
          <cell r="R41">
            <v>517810.93049273209</v>
          </cell>
          <cell r="S41">
            <v>1148352.6827479817</v>
          </cell>
          <cell r="T41">
            <v>273989.04555521609</v>
          </cell>
          <cell r="U41">
            <v>1702732.9080563663</v>
          </cell>
          <cell r="V41">
            <v>1817933.2114242739</v>
          </cell>
          <cell r="W41">
            <v>122540.0094247713</v>
          </cell>
          <cell r="X41">
            <v>766031.40135487425</v>
          </cell>
          <cell r="Y41">
            <v>274897.29344350158</v>
          </cell>
          <cell r="Z41">
            <v>263502.97699130682</v>
          </cell>
          <cell r="AA41">
            <v>651126.17515986075</v>
          </cell>
          <cell r="AB41">
            <v>606584.75630128151</v>
          </cell>
          <cell r="AC41">
            <v>395580.99036918883</v>
          </cell>
          <cell r="AD41">
            <v>250333.85716513934</v>
          </cell>
          <cell r="AE41">
            <v>287845.60190360149</v>
          </cell>
          <cell r="AF41">
            <v>15101999.999968549</v>
          </cell>
        </row>
        <row r="42">
          <cell r="B42" t="str">
            <v>Old Non-tuition revenues</v>
          </cell>
          <cell r="C42">
            <v>259182.71386581252</v>
          </cell>
          <cell r="D42">
            <v>805855.32299469458</v>
          </cell>
          <cell r="E42">
            <v>369810.10694871069</v>
          </cell>
          <cell r="F42">
            <v>113799.42570840237</v>
          </cell>
          <cell r="G42">
            <v>511850.37890358834</v>
          </cell>
          <cell r="H42">
            <v>38929.4433802231</v>
          </cell>
          <cell r="I42">
            <v>433420.53677494125</v>
          </cell>
          <cell r="J42">
            <v>163514.21955604764</v>
          </cell>
          <cell r="K42">
            <v>264304.84167505277</v>
          </cell>
          <cell r="L42">
            <v>879424.84949429682</v>
          </cell>
          <cell r="M42">
            <v>177899.54786131828</v>
          </cell>
          <cell r="N42">
            <v>668447.86875152914</v>
          </cell>
          <cell r="O42">
            <v>479914.25790037517</v>
          </cell>
          <cell r="P42">
            <v>588497.89147989755</v>
          </cell>
          <cell r="Q42">
            <v>79787.49363363297</v>
          </cell>
          <cell r="R42">
            <v>501638.90863134124</v>
          </cell>
          <cell r="S42">
            <v>1112487.8842349118</v>
          </cell>
          <cell r="T42">
            <v>265431.95150105195</v>
          </cell>
          <cell r="U42">
            <v>1649553.9730597755</v>
          </cell>
          <cell r="V42">
            <v>1761156.3959759672</v>
          </cell>
          <cell r="W42">
            <v>118712.89880463298</v>
          </cell>
          <cell r="X42">
            <v>742107.07716682635</v>
          </cell>
          <cell r="Y42">
            <v>266311.83342825016</v>
          </cell>
          <cell r="Z42">
            <v>255273.37878566448</v>
          </cell>
          <cell r="AA42">
            <v>630790.51571522711</v>
          </cell>
          <cell r="AB42">
            <v>587640.19302148325</v>
          </cell>
          <cell r="AC42">
            <v>383226.39519269526</v>
          </cell>
          <cell r="AD42">
            <v>242515.55057422092</v>
          </cell>
          <cell r="AE42">
            <v>278855.74654797843</v>
          </cell>
          <cell r="AF42">
            <v>14630341.60156855</v>
          </cell>
        </row>
        <row r="44">
          <cell r="B44" t="str">
            <v>Overall Program Profitability, $</v>
          </cell>
          <cell r="C44">
            <v>-126598.17424374848</v>
          </cell>
          <cell r="D44">
            <v>-1010356.6063078147</v>
          </cell>
          <cell r="E44">
            <v>-729824.83216768666</v>
          </cell>
          <cell r="F44">
            <v>-43480.204770050987</v>
          </cell>
          <cell r="G44">
            <v>-492889.55786857521</v>
          </cell>
          <cell r="H44">
            <v>-1078224.9510956975</v>
          </cell>
          <cell r="I44">
            <v>-129162.2092744087</v>
          </cell>
          <cell r="J44">
            <v>-312448.04810131702</v>
          </cell>
          <cell r="K44">
            <v>-315752.74905218522</v>
          </cell>
          <cell r="L44">
            <v>-2558.8107446881477</v>
          </cell>
          <cell r="M44">
            <v>-31523.883288272569</v>
          </cell>
          <cell r="N44">
            <v>-364250.51863471884</v>
          </cell>
          <cell r="O44">
            <v>-417230.51700656948</v>
          </cell>
          <cell r="P44">
            <v>-3897066.4492185963</v>
          </cell>
          <cell r="Q44">
            <v>-2396821.0386093357</v>
          </cell>
          <cell r="R44">
            <v>179969.72259833862</v>
          </cell>
          <cell r="S44">
            <v>-1242172.8462386795</v>
          </cell>
          <cell r="T44">
            <v>-81673.008519143506</v>
          </cell>
          <cell r="U44">
            <v>-1181525.0142753916</v>
          </cell>
          <cell r="V44">
            <v>-4922729.5351576805</v>
          </cell>
          <cell r="W44">
            <v>-3863826.8082246333</v>
          </cell>
          <cell r="X44">
            <v>260676.34240608639</v>
          </cell>
          <cell r="Y44">
            <v>-292516.37647577911</v>
          </cell>
          <cell r="Z44">
            <v>-106574.874712024</v>
          </cell>
          <cell r="AA44">
            <v>59523.642083011451</v>
          </cell>
          <cell r="AB44">
            <v>191137.1269879716</v>
          </cell>
          <cell r="AC44">
            <v>-82160.568530604942</v>
          </cell>
          <cell r="AD44">
            <v>-73842.587049340189</v>
          </cell>
          <cell r="AE44">
            <v>-615096.66450847336</v>
          </cell>
          <cell r="AF44">
            <v>-23119000.000000004</v>
          </cell>
        </row>
        <row r="46">
          <cell r="B46" t="str">
            <v>Indirect Cost - Even Split</v>
          </cell>
          <cell r="C46">
            <v>2006256.5951946641</v>
          </cell>
          <cell r="D46">
            <v>2006256.5951946641</v>
          </cell>
          <cell r="E46">
            <v>2006256.5951946641</v>
          </cell>
          <cell r="F46">
            <v>2006256.5951946641</v>
          </cell>
          <cell r="G46">
            <v>2006256.5951946641</v>
          </cell>
          <cell r="H46">
            <v>2006256.5951946641</v>
          </cell>
          <cell r="I46">
            <v>2006256.5951946641</v>
          </cell>
          <cell r="J46">
            <v>2006256.5951946641</v>
          </cell>
          <cell r="K46">
            <v>2006256.5951946641</v>
          </cell>
          <cell r="L46">
            <v>2006256.5951946641</v>
          </cell>
          <cell r="M46">
            <v>2006256.5951946641</v>
          </cell>
          <cell r="N46">
            <v>2006256.5951946641</v>
          </cell>
          <cell r="O46">
            <v>2006256.5951946641</v>
          </cell>
          <cell r="P46">
            <v>2006256.5951946641</v>
          </cell>
          <cell r="Q46">
            <v>2006256.5951946641</v>
          </cell>
          <cell r="R46">
            <v>2006256.5951946641</v>
          </cell>
          <cell r="S46">
            <v>2006256.5951946641</v>
          </cell>
          <cell r="T46">
            <v>2006256.5951946641</v>
          </cell>
          <cell r="U46">
            <v>2006256.5951946641</v>
          </cell>
          <cell r="V46">
            <v>2006256.5951946641</v>
          </cell>
          <cell r="W46">
            <v>2006256.5951946641</v>
          </cell>
          <cell r="X46">
            <v>2006256.5951946641</v>
          </cell>
          <cell r="Y46">
            <v>2006256.5951946641</v>
          </cell>
          <cell r="Z46">
            <v>2006256.5951946641</v>
          </cell>
          <cell r="AA46">
            <v>2006256.5951946641</v>
          </cell>
          <cell r="AB46">
            <v>2006256.5951946641</v>
          </cell>
          <cell r="AC46">
            <v>2006256.5951946641</v>
          </cell>
          <cell r="AD46">
            <v>2006256.5951946641</v>
          </cell>
          <cell r="AE46">
            <v>2006256.5951946641</v>
          </cell>
          <cell r="AF46">
            <v>58181441.2606453</v>
          </cell>
        </row>
        <row r="48">
          <cell r="B48" t="str">
            <v>Overall Program Profitability after even indirect split</v>
          </cell>
          <cell r="C48">
            <v>-1321353.0572293124</v>
          </cell>
          <cell r="D48">
            <v>-686326.66427378694</v>
          </cell>
          <cell r="E48">
            <v>-1553214.3788803525</v>
          </cell>
          <cell r="F48">
            <v>-1712028.8749551105</v>
          </cell>
          <cell r="G48">
            <v>-906305.15903458651</v>
          </cell>
          <cell r="H48">
            <v>-1792574.3833286972</v>
          </cell>
          <cell r="I48">
            <v>-827878.08137459843</v>
          </cell>
          <cell r="J48">
            <v>-1798053.619741369</v>
          </cell>
          <cell r="K48">
            <v>-1460261.0179243428</v>
          </cell>
          <cell r="L48">
            <v>677801.02358257817</v>
          </cell>
          <cell r="M48">
            <v>-1458506.2597831548</v>
          </cell>
          <cell r="N48">
            <v>-393905.25411340478</v>
          </cell>
          <cell r="O48">
            <v>-951194.90120280278</v>
          </cell>
          <cell r="P48">
            <v>2014176.6841150357</v>
          </cell>
          <cell r="Q48">
            <v>-2411534.9349438604</v>
          </cell>
          <cell r="R48">
            <v>-362154.77683676954</v>
          </cell>
          <cell r="S48">
            <v>206552.90684850886</v>
          </cell>
          <cell r="T48">
            <v>-1244286.0148681321</v>
          </cell>
          <cell r="U48">
            <v>1737973.1469499287</v>
          </cell>
          <cell r="V48">
            <v>-1285464.752032395</v>
          </cell>
          <cell r="W48">
            <v>-1029035.3670722981</v>
          </cell>
          <cell r="X48">
            <v>395050.7835532832</v>
          </cell>
          <cell r="Y48">
            <v>-1517205.6655963096</v>
          </cell>
          <cell r="Z48">
            <v>-1359661.4788364859</v>
          </cell>
          <cell r="AA48">
            <v>-92665.667909576907</v>
          </cell>
          <cell r="AB48">
            <v>-72059.868929074612</v>
          </cell>
          <cell r="AC48">
            <v>-928910.81073515723</v>
          </cell>
          <cell r="AD48">
            <v>-1279442.4696424182</v>
          </cell>
          <cell r="AE48">
            <v>-1706531.0858053491</v>
          </cell>
          <cell r="AF48">
            <v>-23119000.000000011</v>
          </cell>
        </row>
        <row r="50">
          <cell r="B50" t="str">
            <v>6 account spend</v>
          </cell>
          <cell r="C50">
            <v>254783.54328939447</v>
          </cell>
          <cell r="D50">
            <v>1062859.3438534886</v>
          </cell>
          <cell r="E50">
            <v>404503.80261635181</v>
          </cell>
          <cell r="F50">
            <v>105107.61792979235</v>
          </cell>
          <cell r="G50">
            <v>755170.23440794554</v>
          </cell>
          <cell r="H50">
            <v>183466.28265523838</v>
          </cell>
          <cell r="I50">
            <v>407116.77937450435</v>
          </cell>
          <cell r="J50">
            <v>157921.61961464357</v>
          </cell>
          <cell r="K50">
            <v>270142.83490613103</v>
          </cell>
          <cell r="L50">
            <v>1077230.3324728888</v>
          </cell>
          <cell r="M50">
            <v>181601.03617435566</v>
          </cell>
          <cell r="N50">
            <v>671843.53495824605</v>
          </cell>
          <cell r="O50">
            <v>553532.11806355743</v>
          </cell>
          <cell r="P50">
            <v>5523112.9007770922</v>
          </cell>
          <cell r="Q50">
            <v>538470.22888091137</v>
          </cell>
          <cell r="R50">
            <v>459570.05778771453</v>
          </cell>
          <cell r="S50">
            <v>1085088.7783353289</v>
          </cell>
          <cell r="T50">
            <v>264721.90845316515</v>
          </cell>
          <cell r="U50">
            <v>1497838.2186919511</v>
          </cell>
          <cell r="V50">
            <v>1711354.6941913418</v>
          </cell>
          <cell r="W50">
            <v>977936.49059488717</v>
          </cell>
          <cell r="X50">
            <v>674057.23378522077</v>
          </cell>
          <cell r="Y50">
            <v>389053.01151436532</v>
          </cell>
          <cell r="Z50">
            <v>235757.65999722912</v>
          </cell>
          <cell r="AA50">
            <v>577283.37847593648</v>
          </cell>
          <cell r="AB50">
            <v>741223.10254531284</v>
          </cell>
          <cell r="AC50">
            <v>648615.93151297991</v>
          </cell>
          <cell r="AD50">
            <v>242522.48726534549</v>
          </cell>
          <cell r="AE50">
            <v>277168.55687468057</v>
          </cell>
        </row>
        <row r="51">
          <cell r="B51" t="str">
            <v>LessRestricted</v>
          </cell>
          <cell r="C51">
            <v>132417.8186562818</v>
          </cell>
          <cell r="D51">
            <v>522804.71583888016</v>
          </cell>
          <cell r="E51">
            <v>239560.94493413321</v>
          </cell>
          <cell r="F51">
            <v>61462.492382020515</v>
          </cell>
          <cell r="G51">
            <v>457894.75259843504</v>
          </cell>
          <cell r="H51">
            <v>92423.39539203397</v>
          </cell>
          <cell r="I51">
            <v>238243.71667812555</v>
          </cell>
          <cell r="J51">
            <v>86209.249165077083</v>
          </cell>
          <cell r="K51">
            <v>140400.45311428461</v>
          </cell>
          <cell r="L51">
            <v>627901.46023559384</v>
          </cell>
          <cell r="M51">
            <v>94382.913297562569</v>
          </cell>
          <cell r="N51">
            <v>416351.68463628931</v>
          </cell>
          <cell r="O51">
            <v>343511.67606325855</v>
          </cell>
          <cell r="P51">
            <v>2221006.0875737928</v>
          </cell>
          <cell r="Q51">
            <v>151021.86158335677</v>
          </cell>
          <cell r="R51">
            <v>267343.12925738131</v>
          </cell>
          <cell r="S51">
            <v>563949.64612125687</v>
          </cell>
          <cell r="T51">
            <v>137583.05271734242</v>
          </cell>
          <cell r="U51">
            <v>817668.33774427697</v>
          </cell>
          <cell r="V51">
            <v>934226.76136032515</v>
          </cell>
          <cell r="W51">
            <v>547394.73165821412</v>
          </cell>
          <cell r="X51">
            <v>390050.432424361</v>
          </cell>
          <cell r="Y51">
            <v>159030.3592845244</v>
          </cell>
          <cell r="Z51">
            <v>138395.45685219963</v>
          </cell>
          <cell r="AA51">
            <v>337570.91969817423</v>
          </cell>
          <cell r="AB51">
            <v>377582.49837181356</v>
          </cell>
          <cell r="AC51">
            <v>498879.5777106242</v>
          </cell>
          <cell r="AD51">
            <v>132392.77550351122</v>
          </cell>
          <cell r="AE51">
            <v>151306.02914686999</v>
          </cell>
        </row>
        <row r="52">
          <cell r="B52" t="str">
            <v>HighRestricted</v>
          </cell>
          <cell r="C52">
            <v>122365.72463311267</v>
          </cell>
          <cell r="D52">
            <v>540054.62801460852</v>
          </cell>
          <cell r="E52">
            <v>164942.8576822186</v>
          </cell>
          <cell r="F52">
            <v>43645.125547771844</v>
          </cell>
          <cell r="G52">
            <v>297275.48180951056</v>
          </cell>
          <cell r="H52">
            <v>91042.887263204408</v>
          </cell>
          <cell r="I52">
            <v>168873.06269637877</v>
          </cell>
          <cell r="J52">
            <v>71712.370449566501</v>
          </cell>
          <cell r="K52">
            <v>129742.38179184642</v>
          </cell>
          <cell r="L52">
            <v>449328.8722372948</v>
          </cell>
          <cell r="M52">
            <v>87218.122876793073</v>
          </cell>
          <cell r="N52">
            <v>255491.85032195671</v>
          </cell>
          <cell r="O52">
            <v>210020.44200029894</v>
          </cell>
          <cell r="P52">
            <v>3302106.8132032994</v>
          </cell>
          <cell r="Q52">
            <v>387448.36729755462</v>
          </cell>
          <cell r="R52">
            <v>192226.92853033321</v>
          </cell>
          <cell r="S52">
            <v>521139.13221407204</v>
          </cell>
          <cell r="T52">
            <v>127138.85573582273</v>
          </cell>
          <cell r="U52">
            <v>680169.88094767416</v>
          </cell>
          <cell r="V52">
            <v>777127.9328310166</v>
          </cell>
          <cell r="W52">
            <v>430541.75893667305</v>
          </cell>
          <cell r="X52">
            <v>284006.80136085977</v>
          </cell>
          <cell r="Y52">
            <v>230022.65222984095</v>
          </cell>
          <cell r="Z52">
            <v>97362.203145029489</v>
          </cell>
          <cell r="AA52">
            <v>239712.45877776225</v>
          </cell>
          <cell r="AB52">
            <v>363640.60417349928</v>
          </cell>
          <cell r="AC52">
            <v>149736.3538023557</v>
          </cell>
          <cell r="AD52">
            <v>110129.71176183427</v>
          </cell>
          <cell r="AE52">
            <v>125862.52772781059</v>
          </cell>
        </row>
        <row r="54">
          <cell r="B54" t="str">
            <v>Profitabilty after 6 accounts</v>
          </cell>
          <cell r="C54">
            <v>-381381.71753314295</v>
          </cell>
          <cell r="D54">
            <v>-2073215.9501613034</v>
          </cell>
          <cell r="E54">
            <v>-1134328.6347840384</v>
          </cell>
          <cell r="F54">
            <v>-148587.82269984332</v>
          </cell>
          <cell r="G54">
            <v>-1248059.7922765207</v>
          </cell>
          <cell r="H54">
            <v>-1261691.2337509359</v>
          </cell>
          <cell r="I54">
            <v>-536278.9886489131</v>
          </cell>
          <cell r="J54">
            <v>-470369.66771596059</v>
          </cell>
          <cell r="K54">
            <v>-585895.58395831625</v>
          </cell>
          <cell r="L54">
            <v>-1079789.1432175769</v>
          </cell>
          <cell r="M54">
            <v>-213124.91946262823</v>
          </cell>
          <cell r="N54">
            <v>-1036094.0535929649</v>
          </cell>
          <cell r="O54">
            <v>-970762.63507012697</v>
          </cell>
          <cell r="P54">
            <v>-9420179.3499956876</v>
          </cell>
          <cell r="Q54">
            <v>-2935291.2674902473</v>
          </cell>
          <cell r="R54">
            <v>-279600.33518937591</v>
          </cell>
          <cell r="S54">
            <v>-2327261.6245740084</v>
          </cell>
          <cell r="T54">
            <v>-346394.91697230865</v>
          </cell>
          <cell r="U54">
            <v>-2679363.2329673427</v>
          </cell>
          <cell r="V54">
            <v>-6634084.2293490227</v>
          </cell>
          <cell r="W54">
            <v>-4841763.2988195205</v>
          </cell>
          <cell r="X54">
            <v>-413380.89137913438</v>
          </cell>
          <cell r="Y54">
            <v>-681569.38799014443</v>
          </cell>
          <cell r="Z54">
            <v>-342332.53470925312</v>
          </cell>
          <cell r="AA54">
            <v>-517759.73639292503</v>
          </cell>
          <cell r="AB54">
            <v>-550085.97555734124</v>
          </cell>
          <cell r="AC54">
            <v>-730776.50004358485</v>
          </cell>
          <cell r="AD54">
            <v>-316365.07431468565</v>
          </cell>
          <cell r="AE54">
            <v>-892265.22138315393</v>
          </cell>
          <cell r="AF54">
            <v>-45048053.720000006</v>
          </cell>
        </row>
        <row r="56">
          <cell r="B56" t="str">
            <v>Old analysis on key drivers and revenues generated by majors</v>
          </cell>
        </row>
        <row r="57">
          <cell r="B57" t="str">
            <v>Key Drivers</v>
          </cell>
        </row>
        <row r="58">
          <cell r="B58" t="str">
            <v>Total enrollment by program (Duplicated headcount)</v>
          </cell>
          <cell r="C58">
            <v>282</v>
          </cell>
          <cell r="D58">
            <v>898</v>
          </cell>
          <cell r="E58">
            <v>454</v>
          </cell>
          <cell r="F58">
            <v>130</v>
          </cell>
          <cell r="G58">
            <v>612</v>
          </cell>
          <cell r="H58">
            <v>184</v>
          </cell>
          <cell r="I58">
            <v>503</v>
          </cell>
          <cell r="J58">
            <v>196</v>
          </cell>
          <cell r="K58">
            <v>299</v>
          </cell>
          <cell r="L58">
            <v>1033</v>
          </cell>
          <cell r="M58">
            <v>201</v>
          </cell>
          <cell r="N58">
            <v>761</v>
          </cell>
          <cell r="O58">
            <v>566</v>
          </cell>
          <cell r="P58">
            <v>2252</v>
          </cell>
          <cell r="Q58">
            <v>284</v>
          </cell>
          <cell r="R58">
            <v>564</v>
          </cell>
          <cell r="S58">
            <v>1201</v>
          </cell>
          <cell r="T58">
            <v>293</v>
          </cell>
          <cell r="U58">
            <v>1859</v>
          </cell>
          <cell r="V58">
            <v>2124</v>
          </cell>
          <cell r="W58">
            <v>689</v>
          </cell>
          <cell r="X58">
            <v>825</v>
          </cell>
          <cell r="Y58">
            <v>301</v>
          </cell>
          <cell r="Z58">
            <v>290</v>
          </cell>
          <cell r="AA58">
            <v>714</v>
          </cell>
          <cell r="AB58">
            <v>671</v>
          </cell>
          <cell r="AC58">
            <v>446</v>
          </cell>
          <cell r="AD58">
            <v>301</v>
          </cell>
          <cell r="AE58">
            <v>344</v>
          </cell>
          <cell r="AF58">
            <v>19277</v>
          </cell>
        </row>
        <row r="59">
          <cell r="B59" t="str">
            <v>Net tuition revenue by program by student (Duplicated headcount)</v>
          </cell>
          <cell r="C59">
            <v>3548.3820580822548</v>
          </cell>
          <cell r="D59">
            <v>1991.8228931627407</v>
          </cell>
          <cell r="E59">
            <v>2175.278948872779</v>
          </cell>
          <cell r="F59">
            <v>2907.8792791202322</v>
          </cell>
          <cell r="G59">
            <v>2823.4243238814515</v>
          </cell>
          <cell r="H59">
            <v>4182.2226065182313</v>
          </cell>
          <cell r="I59">
            <v>3261.4152573529796</v>
          </cell>
          <cell r="J59">
            <v>2036.0136307262235</v>
          </cell>
          <cell r="K59">
            <v>3642.7929020977213</v>
          </cell>
          <cell r="L59">
            <v>3004.5779125235645</v>
          </cell>
          <cell r="M59">
            <v>4173.3751030185604</v>
          </cell>
          <cell r="N59">
            <v>2683.6232038380085</v>
          </cell>
          <cell r="O59">
            <v>2715.3035364079892</v>
          </cell>
          <cell r="P59">
            <v>5432.333162854281</v>
          </cell>
          <cell r="Q59">
            <v>1249.6936010497525</v>
          </cell>
          <cell r="R59">
            <v>3386.3800511793661</v>
          </cell>
          <cell r="S59">
            <v>2362.0901909202257</v>
          </cell>
          <cell r="T59">
            <v>3952.3707671375973</v>
          </cell>
          <cell r="U59">
            <v>1922.3523265670933</v>
          </cell>
          <cell r="V59">
            <v>1234.2092442269281</v>
          </cell>
          <cell r="W59">
            <v>5017.6991679210369</v>
          </cell>
          <cell r="X59">
            <v>3258.8447119916032</v>
          </cell>
          <cell r="Y59">
            <v>2152.4742131390462</v>
          </cell>
          <cell r="Z59">
            <v>3288.7047909202465</v>
          </cell>
          <cell r="AA59">
            <v>3040.6490505955553</v>
          </cell>
          <cell r="AB59">
            <v>3270.0802682031413</v>
          </cell>
          <cell r="AC59">
            <v>3038.6917737451076</v>
          </cell>
          <cell r="AD59">
            <v>3243.975808595038</v>
          </cell>
          <cell r="AE59">
            <v>1736.7342543189345</v>
          </cell>
          <cell r="AF59">
            <v>2958.6035270564021</v>
          </cell>
        </row>
        <row r="60">
          <cell r="B60" t="str">
            <v>Actual number of SCCH</v>
          </cell>
          <cell r="C60">
            <v>846</v>
          </cell>
          <cell r="D60">
            <v>1832</v>
          </cell>
          <cell r="E60">
            <v>913</v>
          </cell>
          <cell r="F60">
            <v>390</v>
          </cell>
          <cell r="G60">
            <v>1487</v>
          </cell>
          <cell r="H60">
            <v>482</v>
          </cell>
          <cell r="I60">
            <v>1234.5</v>
          </cell>
          <cell r="J60">
            <v>435</v>
          </cell>
          <cell r="K60">
            <v>897</v>
          </cell>
          <cell r="L60">
            <v>3037</v>
          </cell>
          <cell r="M60">
            <v>603</v>
          </cell>
          <cell r="N60">
            <v>2152</v>
          </cell>
          <cell r="O60">
            <v>1469</v>
          </cell>
          <cell r="P60">
            <v>6737</v>
          </cell>
          <cell r="Q60">
            <v>567</v>
          </cell>
          <cell r="R60">
            <v>1774</v>
          </cell>
          <cell r="S60">
            <v>1581</v>
          </cell>
          <cell r="T60">
            <v>879</v>
          </cell>
          <cell r="U60">
            <v>3318</v>
          </cell>
          <cell r="V60">
            <v>3121.93</v>
          </cell>
          <cell r="W60">
            <v>2451</v>
          </cell>
          <cell r="X60">
            <v>2475</v>
          </cell>
          <cell r="Y60">
            <v>652.5</v>
          </cell>
          <cell r="Z60">
            <v>870</v>
          </cell>
          <cell r="AA60">
            <v>1901</v>
          </cell>
          <cell r="AB60">
            <v>2013</v>
          </cell>
          <cell r="AC60">
            <v>1257</v>
          </cell>
          <cell r="AD60">
            <v>822</v>
          </cell>
          <cell r="AE60">
            <v>674</v>
          </cell>
          <cell r="AF60">
            <v>46870.93</v>
          </cell>
        </row>
        <row r="61">
          <cell r="B61" t="str">
            <v>Net tuition revenue by SCCH</v>
          </cell>
          <cell r="C61">
            <v>1182.7940193607517</v>
          </cell>
          <cell r="D61">
            <v>976.34113431230412</v>
          </cell>
          <cell r="E61">
            <v>1081.6830698666392</v>
          </cell>
          <cell r="F61">
            <v>969.29309304007745</v>
          </cell>
          <cell r="G61">
            <v>1162.0280337696358</v>
          </cell>
          <cell r="H61">
            <v>1596.5331112019803</v>
          </cell>
          <cell r="I61">
            <v>1328.8715062361675</v>
          </cell>
          <cell r="J61">
            <v>917.37625660308004</v>
          </cell>
          <cell r="K61">
            <v>1214.2643006992405</v>
          </cell>
          <cell r="L61">
            <v>1021.9720064658683</v>
          </cell>
          <cell r="M61">
            <v>1391.12503433952</v>
          </cell>
          <cell r="N61">
            <v>948.99500842041095</v>
          </cell>
          <cell r="O61">
            <v>1046.1959166827244</v>
          </cell>
          <cell r="P61">
            <v>1815.8845603010004</v>
          </cell>
          <cell r="Q61">
            <v>625.94882310075786</v>
          </cell>
          <cell r="R61">
            <v>1076.6168821111401</v>
          </cell>
          <cell r="S61">
            <v>1794.3518781120754</v>
          </cell>
          <cell r="T61">
            <v>1317.4569223791991</v>
          </cell>
          <cell r="U61">
            <v>1077.050324016946</v>
          </cell>
          <cell r="V61">
            <v>839.69225278529484</v>
          </cell>
          <cell r="W61">
            <v>1410.5241642993042</v>
          </cell>
          <cell r="X61">
            <v>1086.2815706638678</v>
          </cell>
          <cell r="Y61">
            <v>992.94212744038759</v>
          </cell>
          <cell r="Z61">
            <v>1096.2349303067488</v>
          </cell>
          <cell r="AA61">
            <v>1142.0428312073784</v>
          </cell>
          <cell r="AB61">
            <v>1090.0267560677139</v>
          </cell>
          <cell r="AC61">
            <v>1078.1674869453605</v>
          </cell>
          <cell r="AD61">
            <v>1187.8792194490345</v>
          </cell>
          <cell r="AE61">
            <v>886.40442653666685</v>
          </cell>
          <cell r="AF61">
            <v>1216.8096556024441</v>
          </cell>
        </row>
        <row r="62">
          <cell r="B62" t="str">
            <v>Number of faculty (FTE)</v>
          </cell>
          <cell r="C62">
            <v>3.33</v>
          </cell>
          <cell r="D62">
            <v>13.33</v>
          </cell>
          <cell r="E62">
            <v>12</v>
          </cell>
          <cell r="F62">
            <v>2.33</v>
          </cell>
          <cell r="G62">
            <v>14.31</v>
          </cell>
          <cell r="H62">
            <v>5.66</v>
          </cell>
          <cell r="I62">
            <v>9.98</v>
          </cell>
          <cell r="J62">
            <v>3.99</v>
          </cell>
          <cell r="K62">
            <v>5</v>
          </cell>
          <cell r="L62">
            <v>21.99</v>
          </cell>
          <cell r="M62">
            <v>3.33</v>
          </cell>
          <cell r="N62">
            <v>13.32</v>
          </cell>
          <cell r="O62">
            <v>12.32</v>
          </cell>
          <cell r="P62">
            <v>53.6</v>
          </cell>
          <cell r="Q62">
            <v>5.98</v>
          </cell>
          <cell r="R62">
            <v>9</v>
          </cell>
          <cell r="S62">
            <v>12.97</v>
          </cell>
          <cell r="T62">
            <v>4</v>
          </cell>
          <cell r="U62">
            <v>24.04</v>
          </cell>
          <cell r="V62">
            <v>44.75</v>
          </cell>
          <cell r="W62">
            <v>24.98</v>
          </cell>
          <cell r="X62">
            <v>12</v>
          </cell>
          <cell r="Y62">
            <v>5</v>
          </cell>
          <cell r="Z62">
            <v>5</v>
          </cell>
          <cell r="AA62">
            <v>11.99</v>
          </cell>
          <cell r="AB62">
            <v>11.99</v>
          </cell>
          <cell r="AC62">
            <v>9</v>
          </cell>
          <cell r="AD62">
            <v>7.33</v>
          </cell>
          <cell r="AE62">
            <v>8.14</v>
          </cell>
          <cell r="AF62">
            <v>370.65999999999997</v>
          </cell>
        </row>
        <row r="63">
          <cell r="B63" t="str">
            <v>Faculty Costs per SCCH</v>
          </cell>
          <cell r="C63">
            <v>650.33872114935502</v>
          </cell>
          <cell r="D63">
            <v>683.05433078602618</v>
          </cell>
          <cell r="E63">
            <v>964.17853767918632</v>
          </cell>
          <cell r="F63">
            <v>498.1586666666667</v>
          </cell>
          <cell r="G63">
            <v>724.95653127101548</v>
          </cell>
          <cell r="H63">
            <v>1144.2182219917011</v>
          </cell>
          <cell r="I63">
            <v>703.0667476711219</v>
          </cell>
          <cell r="J63">
            <v>808.01473103448257</v>
          </cell>
          <cell r="K63">
            <v>873.1260869565217</v>
          </cell>
          <cell r="L63">
            <v>426.19128086927884</v>
          </cell>
          <cell r="M63">
            <v>743.98805970149249</v>
          </cell>
          <cell r="N63">
            <v>508.84439916356871</v>
          </cell>
          <cell r="O63">
            <v>651.10796460176994</v>
          </cell>
          <cell r="P63">
            <v>1160.8274705358467</v>
          </cell>
          <cell r="Q63">
            <v>1242.703130511464</v>
          </cell>
          <cell r="R63">
            <v>429.46076719278472</v>
          </cell>
          <cell r="S63">
            <v>1069.3507273877292</v>
          </cell>
          <cell r="T63">
            <v>722.99670079635951</v>
          </cell>
          <cell r="U63">
            <v>448.26827637130805</v>
          </cell>
          <cell r="V63">
            <v>1108.8841847831311</v>
          </cell>
          <cell r="W63">
            <v>984.51883231334148</v>
          </cell>
          <cell r="X63">
            <v>416.69212525252522</v>
          </cell>
          <cell r="Y63">
            <v>639.46420229885064</v>
          </cell>
          <cell r="Z63">
            <v>632.7026781609195</v>
          </cell>
          <cell r="AA63">
            <v>461.29245134139921</v>
          </cell>
          <cell r="AB63">
            <v>420.7119672131148</v>
          </cell>
          <cell r="AC63">
            <v>521.11248766905328</v>
          </cell>
          <cell r="AD63">
            <v>589.15272506082727</v>
          </cell>
          <cell r="AE63">
            <v>832.42552818991101</v>
          </cell>
          <cell r="AF63">
            <v>740.35945006837835</v>
          </cell>
        </row>
        <row r="64">
          <cell r="B64" t="str">
            <v>Average cost per faculty</v>
          </cell>
          <cell r="C64">
            <v>165221.18861632262</v>
          </cell>
          <cell r="D64">
            <v>93875.133833458356</v>
          </cell>
          <cell r="E64">
            <v>73357.917075091435</v>
          </cell>
          <cell r="F64">
            <v>83382.781115879829</v>
          </cell>
          <cell r="G64">
            <v>75332.659818308864</v>
          </cell>
          <cell r="H64">
            <v>97440.491696113066</v>
          </cell>
          <cell r="I64">
            <v>86967.525050100201</v>
          </cell>
          <cell r="J64">
            <v>88091.831578947342</v>
          </cell>
          <cell r="K64">
            <v>156638.82</v>
          </cell>
          <cell r="L64">
            <v>58860.523874488405</v>
          </cell>
          <cell r="M64">
            <v>134722.16216216216</v>
          </cell>
          <cell r="N64">
            <v>82209.695720720716</v>
          </cell>
          <cell r="O64">
            <v>77636.168831168834</v>
          </cell>
          <cell r="P64">
            <v>145904.75128731341</v>
          </cell>
          <cell r="Q64">
            <v>117828.20652173914</v>
          </cell>
          <cell r="R64">
            <v>84651.489000000001</v>
          </cell>
          <cell r="S64">
            <v>130350.30840400925</v>
          </cell>
          <cell r="T64">
            <v>158878.52499999999</v>
          </cell>
          <cell r="U64">
            <v>61869.972587354416</v>
          </cell>
          <cell r="V64">
            <v>77359.973251396659</v>
          </cell>
          <cell r="W64">
            <v>96599.505924739788</v>
          </cell>
          <cell r="X64">
            <v>85942.750833333324</v>
          </cell>
          <cell r="Y64">
            <v>83450.078400000013</v>
          </cell>
          <cell r="Z64">
            <v>110090.26599999999</v>
          </cell>
          <cell r="AA64">
            <v>73137.360300250206</v>
          </cell>
          <cell r="AB64">
            <v>70633.293577981662</v>
          </cell>
          <cell r="AC64">
            <v>72782.044111111114</v>
          </cell>
          <cell r="AD64">
            <v>66068.695770804901</v>
          </cell>
          <cell r="AE64">
            <v>68925.651842751831</v>
          </cell>
          <cell r="AF64">
            <v>93620.395939657537</v>
          </cell>
        </row>
        <row r="65">
          <cell r="B65" t="str">
            <v>Number of academic staff</v>
          </cell>
          <cell r="C65">
            <v>2.4</v>
          </cell>
          <cell r="D65">
            <v>3.5333333333333332</v>
          </cell>
          <cell r="E65">
            <v>2.5333333333333332</v>
          </cell>
          <cell r="F65">
            <v>0.53333333333333333</v>
          </cell>
          <cell r="G65">
            <v>6.5333333333333332</v>
          </cell>
          <cell r="H65">
            <v>2.3333333333333335</v>
          </cell>
          <cell r="I65">
            <v>1.5333333333333332</v>
          </cell>
          <cell r="J65">
            <v>2.8</v>
          </cell>
          <cell r="K65">
            <v>0.53333333333333333</v>
          </cell>
          <cell r="L65">
            <v>1.5333333333333332</v>
          </cell>
          <cell r="M65">
            <v>2.4</v>
          </cell>
        </row>
        <row r="66">
          <cell r="B66" t="str">
            <v>Student : Faculty Ratio</v>
          </cell>
          <cell r="C66">
            <v>15.9</v>
          </cell>
          <cell r="D66">
            <v>8.6999999999999993</v>
          </cell>
          <cell r="E66">
            <v>7</v>
          </cell>
          <cell r="F66">
            <v>10.8</v>
          </cell>
          <cell r="G66">
            <v>7.6</v>
          </cell>
          <cell r="H66">
            <v>8.5</v>
          </cell>
          <cell r="I66">
            <v>9.6</v>
          </cell>
          <cell r="J66">
            <v>6.8</v>
          </cell>
          <cell r="K66">
            <v>11.2</v>
          </cell>
          <cell r="L66">
            <v>8.5</v>
          </cell>
          <cell r="M66">
            <v>11.3</v>
          </cell>
          <cell r="N66">
            <v>10.199999999999999</v>
          </cell>
          <cell r="O66">
            <v>8.1</v>
          </cell>
          <cell r="P66">
            <v>10.6</v>
          </cell>
          <cell r="Q66">
            <v>16</v>
          </cell>
          <cell r="R66">
            <v>13</v>
          </cell>
          <cell r="S66">
            <v>9.6</v>
          </cell>
          <cell r="T66">
            <v>13.7</v>
          </cell>
          <cell r="U66">
            <v>9.1999999999999993</v>
          </cell>
          <cell r="V66">
            <v>4.8</v>
          </cell>
          <cell r="W66">
            <v>13.3</v>
          </cell>
          <cell r="X66">
            <v>14.1</v>
          </cell>
          <cell r="Y66">
            <v>8.1999999999999993</v>
          </cell>
          <cell r="Z66">
            <v>11.1</v>
          </cell>
          <cell r="AA66">
            <v>12.3</v>
          </cell>
          <cell r="AB66">
            <v>12.6</v>
          </cell>
          <cell r="AC66">
            <v>9.9</v>
          </cell>
          <cell r="AD66">
            <v>7.7</v>
          </cell>
          <cell r="AE66">
            <v>8.6999999999999993</v>
          </cell>
          <cell r="AF66">
            <v>10.310344827586205</v>
          </cell>
        </row>
        <row r="67">
          <cell r="B67" t="str">
            <v>Student : Academic Staff Ratio</v>
          </cell>
          <cell r="C67">
            <v>117.5</v>
          </cell>
          <cell r="D67">
            <v>254.15094339622641</v>
          </cell>
          <cell r="E67">
            <v>179.21052631578948</v>
          </cell>
          <cell r="F67">
            <v>243.75</v>
          </cell>
          <cell r="G67">
            <v>93.673469387755105</v>
          </cell>
          <cell r="H67">
            <v>78.857142857142847</v>
          </cell>
          <cell r="I67">
            <v>328.04347826086956</v>
          </cell>
          <cell r="J67">
            <v>70</v>
          </cell>
          <cell r="K67">
            <v>560.625</v>
          </cell>
          <cell r="L67">
            <v>673.69565217391312</v>
          </cell>
          <cell r="M67">
            <v>83.75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</row>
        <row r="68">
          <cell r="B68" t="str">
            <v>Program administrative overhead per student</v>
          </cell>
          <cell r="C68">
            <v>2068.3636350524253</v>
          </cell>
          <cell r="D68">
            <v>1448.2870979955458</v>
          </cell>
          <cell r="E68">
            <v>2018.2083905391694</v>
          </cell>
          <cell r="F68">
            <v>1548.1901538461539</v>
          </cell>
          <cell r="G68">
            <v>1889.4376666666667</v>
          </cell>
          <cell r="H68">
            <v>3239.3000706521739</v>
          </cell>
          <cell r="I68">
            <v>1808.1643538767396</v>
          </cell>
          <cell r="J68">
            <v>1834.9048367346936</v>
          </cell>
          <cell r="K68">
            <v>2729.1809364548494</v>
          </cell>
          <cell r="L68">
            <v>1285.0410842207164</v>
          </cell>
          <cell r="M68">
            <v>2361.8547263681589</v>
          </cell>
          <cell r="N68">
            <v>1471.5945558475689</v>
          </cell>
          <cell r="O68">
            <v>1726.4770671378092</v>
          </cell>
          <cell r="P68">
            <v>3916.8077748667847</v>
          </cell>
          <cell r="Q68">
            <v>2966.7289964788733</v>
          </cell>
          <cell r="R68">
            <v>1389.4103918439719</v>
          </cell>
          <cell r="S68">
            <v>1475.7814321398835</v>
          </cell>
          <cell r="T68">
            <v>2286.9047781569966</v>
          </cell>
          <cell r="U68">
            <v>824.18296987627764</v>
          </cell>
          <cell r="V68">
            <v>1750.7541445386066</v>
          </cell>
          <cell r="W68">
            <v>3777.2329579100142</v>
          </cell>
          <cell r="X68">
            <v>1276.692012121212</v>
          </cell>
          <cell r="Y68">
            <v>1441.0003388704322</v>
          </cell>
          <cell r="Z68">
            <v>1967.6974137931034</v>
          </cell>
          <cell r="AA68">
            <v>1272.4911344537813</v>
          </cell>
          <cell r="AB68">
            <v>1291.5229359165426</v>
          </cell>
          <cell r="AC68">
            <v>1510.071159192825</v>
          </cell>
          <cell r="AD68">
            <v>1660.9848837209302</v>
          </cell>
          <cell r="AE68">
            <v>1702.1996395348835</v>
          </cell>
          <cell r="AF68">
            <v>1923.149812231653</v>
          </cell>
        </row>
        <row r="69">
          <cell r="B69" t="str">
            <v>Indirect cost/university overhead per student</v>
          </cell>
          <cell r="C69">
            <v>1161.2165934703651</v>
          </cell>
          <cell r="D69">
            <v>982.13899744570881</v>
          </cell>
          <cell r="E69">
            <v>988.52972653543577</v>
          </cell>
          <cell r="F69">
            <v>983.83709594104573</v>
          </cell>
          <cell r="G69">
            <v>986.84796045495068</v>
          </cell>
          <cell r="H69">
            <v>945.69457393607718</v>
          </cell>
          <cell r="I69">
            <v>984.89483122313038</v>
          </cell>
          <cell r="J69">
            <v>1016.7052062599741</v>
          </cell>
          <cell r="K69">
            <v>1163.9266742984501</v>
          </cell>
          <cell r="L69">
            <v>985.69262741664556</v>
          </cell>
          <cell r="M69">
            <v>1163.8410552181283</v>
          </cell>
          <cell r="N69">
            <v>983.60557510472381</v>
          </cell>
          <cell r="O69">
            <v>985.95695259661477</v>
          </cell>
          <cell r="P69">
            <v>1316.1409316833183</v>
          </cell>
          <cell r="Q69">
            <v>940.34239362277265</v>
          </cell>
          <cell r="R69">
            <v>982.75302436456025</v>
          </cell>
          <cell r="S69">
            <v>1160.6600188523435</v>
          </cell>
          <cell r="T69">
            <v>1162.2332350079857</v>
          </cell>
          <cell r="U69">
            <v>1012.6099651696143</v>
          </cell>
          <cell r="V69">
            <v>1017.0976607261989</v>
          </cell>
          <cell r="W69">
            <v>948.72490527067475</v>
          </cell>
          <cell r="X69">
            <v>981.97429154639019</v>
          </cell>
          <cell r="Y69">
            <v>983.11363085547555</v>
          </cell>
          <cell r="Z69">
            <v>983.46113049350595</v>
          </cell>
          <cell r="AA69">
            <v>983.21368721292856</v>
          </cell>
          <cell r="AB69">
            <v>983.80719041619511</v>
          </cell>
          <cell r="AC69">
            <v>985.08147328184248</v>
          </cell>
          <cell r="AD69">
            <v>1018.9085119194666</v>
          </cell>
          <cell r="AE69">
            <v>1018.5283157245856</v>
          </cell>
          <cell r="AF69">
            <v>1049.5148622711004</v>
          </cell>
        </row>
        <row r="70">
          <cell r="B70" t="str">
            <v>Average course cap</v>
          </cell>
          <cell r="C70" t="str">
            <v xml:space="preserve"> </v>
          </cell>
        </row>
        <row r="71">
          <cell r="B71" t="str">
            <v>Number of student enrolled/(numbers of courses * average course cap)</v>
          </cell>
          <cell r="C71">
            <v>0.81739130434782614</v>
          </cell>
          <cell r="D71">
            <v>0.85768863419293218</v>
          </cell>
          <cell r="E71">
            <v>0.6941896024464832</v>
          </cell>
          <cell r="F71">
            <v>0.42483660130718953</v>
          </cell>
          <cell r="G71">
            <v>0.65594855305466238</v>
          </cell>
          <cell r="H71">
            <v>0.67647058823529416</v>
          </cell>
          <cell r="I71">
            <v>0.65767045454545459</v>
          </cell>
          <cell r="J71">
            <v>0.57647058823529407</v>
          </cell>
          <cell r="K71">
            <v>0.8305555555555556</v>
          </cell>
          <cell r="L71">
            <v>0.93399638336347202</v>
          </cell>
          <cell r="M71">
            <v>0.63809523809523805</v>
          </cell>
          <cell r="N71">
            <v>0.81303418803418803</v>
          </cell>
          <cell r="O71">
            <v>0.7231222385861561</v>
          </cell>
          <cell r="P71">
            <v>0.69742954475069685</v>
          </cell>
          <cell r="Q71">
            <v>0.23133414932680538</v>
          </cell>
          <cell r="R71">
            <v>0.70765370138017569</v>
          </cell>
          <cell r="S71">
            <v>0.65018181818181819</v>
          </cell>
          <cell r="T71">
            <v>0.78133333333333332</v>
          </cell>
          <cell r="U71">
            <v>0.6740391588107324</v>
          </cell>
          <cell r="V71">
            <v>0.52109375000000002</v>
          </cell>
          <cell r="W71">
            <v>0.7689732142857143</v>
          </cell>
          <cell r="X71">
            <v>0.88519313304721026</v>
          </cell>
          <cell r="Y71">
            <v>0.76982097186700771</v>
          </cell>
          <cell r="Z71">
            <v>0.68396226415094341</v>
          </cell>
          <cell r="AA71">
            <v>0.82830626450116007</v>
          </cell>
          <cell r="AB71">
            <v>0.88405797101449279</v>
          </cell>
          <cell r="AC71">
            <v>0.84469696969696972</v>
          </cell>
          <cell r="AD71">
            <v>0.74875621890547261</v>
          </cell>
          <cell r="AE71">
            <v>0.68662674650698607</v>
          </cell>
          <cell r="AF71">
            <v>0.7125147979227332</v>
          </cell>
        </row>
        <row r="72">
          <cell r="B72" t="str">
            <v>Students majors enrolled</v>
          </cell>
          <cell r="C72">
            <v>0.25886524822695034</v>
          </cell>
          <cell r="D72">
            <v>0.29579579579579579</v>
          </cell>
          <cell r="E72">
            <v>0.27293577981651373</v>
          </cell>
          <cell r="F72">
            <v>7.0000000000000007E-2</v>
          </cell>
          <cell r="G72">
            <v>0.73</v>
          </cell>
          <cell r="H72">
            <v>0.94736842105263153</v>
          </cell>
          <cell r="I72">
            <v>0.49</v>
          </cell>
          <cell r="J72">
            <v>0.74489795918367352</v>
          </cell>
          <cell r="K72">
            <v>0.21981424148606812</v>
          </cell>
          <cell r="L72">
            <v>0.29235237173281703</v>
          </cell>
          <cell r="M72">
            <v>0.21468926553672316</v>
          </cell>
          <cell r="N72">
            <v>0.14718019257221457</v>
          </cell>
          <cell r="O72">
            <v>6.4272211720226846E-2</v>
          </cell>
          <cell r="P72">
            <v>1</v>
          </cell>
          <cell r="Q72">
            <v>0.96907216494845361</v>
          </cell>
          <cell r="R72">
            <v>9.9290780141843976E-2</v>
          </cell>
          <cell r="S72">
            <v>0.24889380530973451</v>
          </cell>
          <cell r="T72">
            <v>0.21843003412969283</v>
          </cell>
          <cell r="U72">
            <v>0.83322517845554833</v>
          </cell>
          <cell r="V72">
            <v>0.55607720396452787</v>
          </cell>
          <cell r="W72">
            <v>1</v>
          </cell>
          <cell r="X72">
            <v>0.68627450980392157</v>
          </cell>
          <cell r="Y72">
            <v>0.24894514767932491</v>
          </cell>
          <cell r="Z72">
            <v>0.48965517241379308</v>
          </cell>
          <cell r="AA72">
            <v>0.68627450980392157</v>
          </cell>
          <cell r="AB72">
            <v>1.3888888888888888E-2</v>
          </cell>
          <cell r="AC72">
            <v>0.2219679633867277</v>
          </cell>
          <cell r="AD72">
            <v>0.34883720930232559</v>
          </cell>
          <cell r="AE72">
            <v>0.81055900621118016</v>
          </cell>
        </row>
        <row r="74">
          <cell r="B74" t="str">
            <v>Revenues genereated by the majors</v>
          </cell>
        </row>
        <row r="75">
          <cell r="B75" t="str">
            <v>Gross revenue</v>
          </cell>
          <cell r="C75">
            <v>1938989.0000000009</v>
          </cell>
          <cell r="D75">
            <v>5834745.9999999749</v>
          </cell>
          <cell r="E75">
            <v>2046209.9999999963</v>
          </cell>
          <cell r="F75">
            <v>141188.99999999997</v>
          </cell>
          <cell r="G75">
            <v>7055956.0000000382</v>
          </cell>
          <cell r="H75">
            <v>829586.00000000047</v>
          </cell>
          <cell r="I75">
            <v>2802769.4999999776</v>
          </cell>
          <cell r="J75">
            <v>1729939.9999999956</v>
          </cell>
          <cell r="K75">
            <v>1511368.999999996</v>
          </cell>
          <cell r="L75">
            <v>5816147.5000000568</v>
          </cell>
          <cell r="M75">
            <v>2153799.9999999925</v>
          </cell>
          <cell r="N75">
            <v>1885007.9999999986</v>
          </cell>
          <cell r="O75">
            <v>583715.50000000047</v>
          </cell>
          <cell r="P75">
            <v>19004611.085518379</v>
          </cell>
          <cell r="Q75">
            <v>458088.5</v>
          </cell>
          <cell r="R75">
            <v>908543.50000000081</v>
          </cell>
          <cell r="S75">
            <v>5120083.0000000065</v>
          </cell>
          <cell r="T75">
            <v>2691423.4090908831</v>
          </cell>
          <cell r="U75">
            <v>11340259.000000156</v>
          </cell>
          <cell r="V75">
            <v>8023236.4999999562</v>
          </cell>
          <cell r="W75">
            <v>3487287.9000000008</v>
          </cell>
          <cell r="X75">
            <v>989855.50000000081</v>
          </cell>
          <cell r="Y75">
            <v>1195077.5000000005</v>
          </cell>
          <cell r="Z75">
            <v>2736225.4999999725</v>
          </cell>
          <cell r="AA75">
            <v>7656176.0000001155</v>
          </cell>
          <cell r="AB75">
            <v>196965.99999999985</v>
          </cell>
          <cell r="AC75">
            <v>1754931.4999999967</v>
          </cell>
          <cell r="AD75">
            <v>1475687.0000000005</v>
          </cell>
          <cell r="AE75">
            <v>2079645.9999999935</v>
          </cell>
          <cell r="AF75">
            <v>103447523.3946095</v>
          </cell>
        </row>
        <row r="76">
          <cell r="B76" t="str">
            <v>Financial aid</v>
          </cell>
          <cell r="C76">
            <v>1219518.8199999991</v>
          </cell>
          <cell r="D76">
            <v>3767250.9099999955</v>
          </cell>
          <cell r="E76">
            <v>1301795.9899999956</v>
          </cell>
          <cell r="F76">
            <v>86530.939999999973</v>
          </cell>
          <cell r="G76">
            <v>3915403.780000044</v>
          </cell>
          <cell r="H76">
            <v>108567.68999999983</v>
          </cell>
          <cell r="I76">
            <v>2641595.4999999776</v>
          </cell>
          <cell r="J76">
            <v>1125107.7499999958</v>
          </cell>
          <cell r="K76">
            <v>864548.37999999581</v>
          </cell>
          <cell r="L76">
            <v>3442319.1300000739</v>
          </cell>
          <cell r="M76">
            <v>1167327.6499999885</v>
          </cell>
          <cell r="N76">
            <v>1043827.6499999968</v>
          </cell>
          <cell r="O76">
            <v>390911.80000000016</v>
          </cell>
          <cell r="P76">
            <v>7435416.7055183649</v>
          </cell>
          <cell r="Q76">
            <v>94523.070000000065</v>
          </cell>
          <cell r="R76">
            <v>615959.84000000078</v>
          </cell>
          <cell r="S76">
            <v>3743904.5000000019</v>
          </cell>
          <cell r="T76">
            <v>1285784.659090888</v>
          </cell>
          <cell r="U76">
            <v>6063783.0300001679</v>
          </cell>
          <cell r="V76">
            <v>7357911.9999999562</v>
          </cell>
          <cell r="W76">
            <v>60610.720000009052</v>
          </cell>
          <cell r="X76">
            <v>574537.55999999959</v>
          </cell>
          <cell r="Y76">
            <v>848920.8</v>
          </cell>
          <cell r="Z76">
            <v>1511051.8399999747</v>
          </cell>
          <cell r="AA76">
            <v>4275805.0100001246</v>
          </cell>
          <cell r="AB76">
            <v>102691.77999999978</v>
          </cell>
          <cell r="AC76">
            <v>1047144.9099999957</v>
          </cell>
          <cell r="AD76">
            <v>893444.89999999886</v>
          </cell>
          <cell r="AE76">
            <v>1345355.0199999919</v>
          </cell>
          <cell r="AF76">
            <v>58331552.334609531</v>
          </cell>
        </row>
        <row r="77">
          <cell r="B77" t="str">
            <v>Net Revenue</v>
          </cell>
          <cell r="C77">
            <v>719470.1800000018</v>
          </cell>
          <cell r="D77">
            <v>2067495.0899999794</v>
          </cell>
          <cell r="E77">
            <v>744414.01000000082</v>
          </cell>
          <cell r="F77">
            <v>54658.060000000005</v>
          </cell>
          <cell r="G77">
            <v>3140552.2199999942</v>
          </cell>
          <cell r="H77">
            <v>721018.31000000064</v>
          </cell>
          <cell r="I77">
            <v>161173.99999999997</v>
          </cell>
          <cell r="J77">
            <v>604832.24999999988</v>
          </cell>
          <cell r="K77">
            <v>646820.62000000023</v>
          </cell>
          <cell r="L77">
            <v>2373828.3699999829</v>
          </cell>
          <cell r="M77">
            <v>986472.35000000405</v>
          </cell>
          <cell r="N77">
            <v>841180.35000000184</v>
          </cell>
          <cell r="O77">
            <v>192803.7000000003</v>
          </cell>
          <cell r="P77">
            <v>11569194.380000014</v>
          </cell>
          <cell r="Q77">
            <v>363565.42999999993</v>
          </cell>
          <cell r="R77">
            <v>292583.65999999997</v>
          </cell>
          <cell r="S77">
            <v>1376178.5000000047</v>
          </cell>
          <cell r="T77">
            <v>1405638.7499999951</v>
          </cell>
          <cell r="U77">
            <v>5276475.9699999886</v>
          </cell>
          <cell r="V77">
            <v>665324.5</v>
          </cell>
          <cell r="W77">
            <v>3426677.1799999918</v>
          </cell>
          <cell r="X77">
            <v>415317.94000000122</v>
          </cell>
          <cell r="Y77">
            <v>346156.70000000042</v>
          </cell>
          <cell r="Z77">
            <v>1225173.6599999978</v>
          </cell>
          <cell r="AA77">
            <v>3380370.9899999904</v>
          </cell>
          <cell r="AB77">
            <v>94274.220000000074</v>
          </cell>
          <cell r="AC77">
            <v>707786.59000000102</v>
          </cell>
          <cell r="AD77">
            <v>582242.10000000161</v>
          </cell>
          <cell r="AE77">
            <v>734290.98000000161</v>
          </cell>
          <cell r="AF77">
            <v>45115971.05999995</v>
          </cell>
        </row>
        <row r="78">
          <cell r="B78" t="str">
            <v>2016 majors based on IPEDS</v>
          </cell>
          <cell r="C78">
            <v>57</v>
          </cell>
          <cell r="D78">
            <v>187</v>
          </cell>
          <cell r="E78">
            <v>63</v>
          </cell>
          <cell r="F78">
            <v>6</v>
          </cell>
          <cell r="G78">
            <v>243</v>
          </cell>
          <cell r="H78">
            <v>77</v>
          </cell>
          <cell r="I78">
            <v>162</v>
          </cell>
          <cell r="J78">
            <v>57</v>
          </cell>
          <cell r="K78">
            <v>76</v>
          </cell>
          <cell r="L78">
            <v>167</v>
          </cell>
          <cell r="M78">
            <v>81</v>
          </cell>
          <cell r="N78">
            <v>82</v>
          </cell>
          <cell r="O78">
            <v>27</v>
          </cell>
          <cell r="P78">
            <v>568</v>
          </cell>
          <cell r="Q78">
            <v>220</v>
          </cell>
          <cell r="R78">
            <v>16</v>
          </cell>
          <cell r="S78">
            <v>306</v>
          </cell>
          <cell r="T78">
            <v>106</v>
          </cell>
          <cell r="U78">
            <v>363</v>
          </cell>
          <cell r="V78">
            <v>133</v>
          </cell>
          <cell r="W78">
            <v>573</v>
          </cell>
          <cell r="X78">
            <v>33</v>
          </cell>
          <cell r="Y78">
            <v>34</v>
          </cell>
          <cell r="Z78">
            <v>108</v>
          </cell>
          <cell r="AA78">
            <v>291</v>
          </cell>
          <cell r="AB78">
            <v>3</v>
          </cell>
          <cell r="AC78">
            <v>60</v>
          </cell>
          <cell r="AD78">
            <v>37</v>
          </cell>
          <cell r="AE78">
            <v>54</v>
          </cell>
          <cell r="AF78">
            <v>4190</v>
          </cell>
        </row>
        <row r="79">
          <cell r="B79" t="str">
            <v>Net Revenue per student major</v>
          </cell>
          <cell r="C79">
            <v>12622.283859649155</v>
          </cell>
          <cell r="D79">
            <v>11056.123475935719</v>
          </cell>
          <cell r="E79">
            <v>11816.095396825411</v>
          </cell>
          <cell r="F79">
            <v>9109.6766666666681</v>
          </cell>
          <cell r="G79">
            <v>12924.083209876519</v>
          </cell>
          <cell r="H79">
            <v>9363.8741558441634</v>
          </cell>
          <cell r="I79">
            <v>994.90123456790104</v>
          </cell>
          <cell r="J79">
            <v>10611.092105263157</v>
          </cell>
          <cell r="K79">
            <v>8510.797631578951</v>
          </cell>
          <cell r="L79">
            <v>14214.541137724449</v>
          </cell>
          <cell r="M79">
            <v>12178.670987654372</v>
          </cell>
          <cell r="N79">
            <v>10258.296951219534</v>
          </cell>
          <cell r="O79">
            <v>7140.8777777777887</v>
          </cell>
          <cell r="P79">
            <v>20368.299964788755</v>
          </cell>
          <cell r="Q79">
            <v>1652.570136363636</v>
          </cell>
          <cell r="R79">
            <v>1329.925727272727</v>
          </cell>
          <cell r="S79">
            <v>4497.3153594771393</v>
          </cell>
          <cell r="T79">
            <v>13260.742924528256</v>
          </cell>
          <cell r="U79">
            <v>14535.746473829169</v>
          </cell>
          <cell r="V79">
            <v>5002.4398496240601</v>
          </cell>
          <cell r="W79">
            <v>5980.2394066317484</v>
          </cell>
          <cell r="X79">
            <v>12585.392121212159</v>
          </cell>
          <cell r="Y79">
            <v>10181.079411764718</v>
          </cell>
          <cell r="Z79">
            <v>11344.200555555535</v>
          </cell>
          <cell r="AA79">
            <v>11616.395154639142</v>
          </cell>
          <cell r="AB79">
            <v>31424.740000000023</v>
          </cell>
          <cell r="AC79">
            <v>11796.443166666684</v>
          </cell>
          <cell r="AD79">
            <v>15736.272972973016</v>
          </cell>
          <cell r="AE79">
            <v>13597.981111111141</v>
          </cell>
          <cell r="AF79">
            <v>10767.534859188532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Instructions and key"/>
      <sheetName val="FY18 OUTPUT"/>
      <sheetName val="Indirect cost OUTPUT"/>
      <sheetName val="References --&gt; "/>
      <sheetName val="FY17 Baseline Model Summary"/>
      <sheetName val="Other --&gt;"/>
      <sheetName val="FY18 Other inputs"/>
      <sheetName val="Bankable Plan (2)"/>
      <sheetName val="Indirect costs --&gt; "/>
      <sheetName val="FY18 Indirect expenses"/>
      <sheetName val="Indirect expense allocation"/>
      <sheetName val="Summary"/>
      <sheetName val="PhysicalPlantAllocation"/>
      <sheetName val="Red bar --&gt; "/>
      <sheetName val="FY18 Redbar Summary"/>
      <sheetName val="Program to School mapping"/>
      <sheetName val="Notes"/>
      <sheetName val="Law"/>
      <sheetName val="Nursing"/>
      <sheetName val="LIM"/>
      <sheetName val="Counseling"/>
      <sheetName val="Design"/>
      <sheetName val="STUA"/>
      <sheetName val="Theatre"/>
      <sheetName val="Music"/>
      <sheetName val="MUIN"/>
      <sheetName val="CMMN"/>
      <sheetName val="Mkt"/>
      <sheetName val="Mgmt"/>
      <sheetName val="FIN"/>
      <sheetName val="Econ"/>
      <sheetName val="ACCT"/>
      <sheetName val="TEAC"/>
      <sheetName val="SOCI"/>
      <sheetName val="RELS"/>
      <sheetName val="Psychology"/>
      <sheetName val="POLS"/>
      <sheetName val="Physics"/>
      <sheetName val="Philosophy"/>
      <sheetName val="COSC"/>
      <sheetName val="Math"/>
      <sheetName val="Languages"/>
      <sheetName val="HIST"/>
      <sheetName val="English"/>
      <sheetName val="CRJU"/>
      <sheetName val="Classics"/>
      <sheetName val="Chemistry"/>
      <sheetName val="Biology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P&amp;L/Programs</v>
          </cell>
          <cell r="C2" t="str">
            <v>ACCT</v>
          </cell>
          <cell r="D2" t="str">
            <v>Biology</v>
          </cell>
          <cell r="E2" t="str">
            <v>Chemistry</v>
          </cell>
          <cell r="F2" t="str">
            <v>Classics</v>
          </cell>
          <cell r="G2" t="str">
            <v>CMMN</v>
          </cell>
          <cell r="H2" t="str">
            <v>Counseling</v>
          </cell>
          <cell r="I2" t="str">
            <v>CRJU</v>
          </cell>
          <cell r="J2" t="str">
            <v>Design</v>
          </cell>
          <cell r="K2" t="str">
            <v>Econ</v>
          </cell>
          <cell r="L2" t="str">
            <v>English</v>
          </cell>
          <cell r="M2" t="str">
            <v>FIN</v>
          </cell>
          <cell r="N2" t="str">
            <v>HIST</v>
          </cell>
          <cell r="O2" t="str">
            <v>Languages</v>
          </cell>
          <cell r="P2" t="str">
            <v>Law</v>
          </cell>
          <cell r="Q2" t="str">
            <v>LIM</v>
          </cell>
          <cell r="R2" t="str">
            <v>Math</v>
          </cell>
          <cell r="S2" t="str">
            <v>Mgmt</v>
          </cell>
          <cell r="T2" t="str">
            <v>Mkt</v>
          </cell>
          <cell r="U2" t="str">
            <v>MUIN</v>
          </cell>
          <cell r="V2" t="str">
            <v>Music</v>
          </cell>
          <cell r="W2" t="str">
            <v>Nursing</v>
          </cell>
          <cell r="X2" t="str">
            <v>Philosophy</v>
          </cell>
          <cell r="Y2" t="str">
            <v>Physics</v>
          </cell>
          <cell r="Z2" t="str">
            <v>POLS</v>
          </cell>
          <cell r="AA2" t="str">
            <v>Psychology</v>
          </cell>
          <cell r="AB2" t="str">
            <v>RELS</v>
          </cell>
          <cell r="AC2" t="str">
            <v>SOCI</v>
          </cell>
          <cell r="AD2" t="str">
            <v>STUA</v>
          </cell>
          <cell r="AE2" t="str">
            <v>Theatre</v>
          </cell>
          <cell r="AF2" t="str">
            <v>Total/Average</v>
          </cell>
        </row>
        <row r="3">
          <cell r="B3"/>
          <cell r="C3" t="str">
            <v>Accounting</v>
          </cell>
          <cell r="D3" t="str">
            <v>Biology</v>
          </cell>
          <cell r="E3" t="str">
            <v>Chemistry</v>
          </cell>
          <cell r="F3" t="str">
            <v>Classics</v>
          </cell>
          <cell r="G3" t="str">
            <v>Communication</v>
          </cell>
          <cell r="H3" t="str">
            <v>Counseling</v>
          </cell>
          <cell r="I3" t="str">
            <v>Criminal Justice</v>
          </cell>
          <cell r="J3" t="str">
            <v>Design</v>
          </cell>
          <cell r="K3" t="str">
            <v>Economics</v>
          </cell>
          <cell r="L3" t="str">
            <v>English</v>
          </cell>
          <cell r="M3" t="str">
            <v>Finance</v>
          </cell>
          <cell r="N3" t="str">
            <v>History</v>
          </cell>
          <cell r="O3" t="str">
            <v>Languages</v>
          </cell>
          <cell r="P3" t="str">
            <v>Law</v>
          </cell>
          <cell r="Q3" t="str">
            <v>Loyola Institute of Ministry</v>
          </cell>
          <cell r="R3" t="str">
            <v>Math</v>
          </cell>
          <cell r="S3" t="str">
            <v>Management</v>
          </cell>
          <cell r="T3" t="str">
            <v>Marketing</v>
          </cell>
          <cell r="U3" t="str">
            <v>Music Industry</v>
          </cell>
          <cell r="V3" t="str">
            <v>Music</v>
          </cell>
          <cell r="W3" t="str">
            <v>Nursing</v>
          </cell>
          <cell r="X3" t="str">
            <v>Philosophy</v>
          </cell>
          <cell r="Y3" t="str">
            <v>Physics</v>
          </cell>
          <cell r="Z3" t="str">
            <v>Political Science</v>
          </cell>
          <cell r="AA3" t="str">
            <v>Psychology</v>
          </cell>
          <cell r="AB3" t="str">
            <v>Religious Studies</v>
          </cell>
          <cell r="AC3" t="str">
            <v>Sociology</v>
          </cell>
          <cell r="AD3" t="str">
            <v>Studio Art</v>
          </cell>
          <cell r="AE3" t="str">
            <v>Theatre</v>
          </cell>
          <cell r="AF3"/>
        </row>
        <row r="4">
          <cell r="B4" t="str">
            <v>School</v>
          </cell>
          <cell r="C4" t="str">
            <v>Business</v>
          </cell>
          <cell r="D4" t="str">
            <v>CAS</v>
          </cell>
          <cell r="E4" t="str">
            <v>CAS</v>
          </cell>
          <cell r="F4" t="str">
            <v>CAS</v>
          </cell>
          <cell r="G4" t="str">
            <v>CAS</v>
          </cell>
          <cell r="H4" t="str">
            <v>GPS</v>
          </cell>
          <cell r="I4" t="str">
            <v>CAS</v>
          </cell>
          <cell r="J4" t="str">
            <v>CMFA</v>
          </cell>
          <cell r="K4" t="str">
            <v>Business</v>
          </cell>
          <cell r="L4" t="str">
            <v>CAS</v>
          </cell>
          <cell r="M4" t="str">
            <v>Business</v>
          </cell>
          <cell r="N4" t="str">
            <v>CAS</v>
          </cell>
          <cell r="O4" t="str">
            <v>CAS</v>
          </cell>
          <cell r="P4" t="str">
            <v>Law</v>
          </cell>
          <cell r="Q4" t="str">
            <v>GPS</v>
          </cell>
          <cell r="R4" t="str">
            <v>CAS</v>
          </cell>
          <cell r="S4" t="str">
            <v>Business</v>
          </cell>
          <cell r="T4" t="str">
            <v>Business</v>
          </cell>
          <cell r="U4" t="str">
            <v>CMFA</v>
          </cell>
          <cell r="V4" t="str">
            <v>CMFA</v>
          </cell>
          <cell r="W4" t="str">
            <v>GPS</v>
          </cell>
          <cell r="X4" t="str">
            <v>CAS</v>
          </cell>
          <cell r="Y4" t="str">
            <v>CAS</v>
          </cell>
          <cell r="Z4" t="str">
            <v>CAS</v>
          </cell>
          <cell r="AA4" t="str">
            <v>CAS</v>
          </cell>
          <cell r="AB4" t="str">
            <v>CAS</v>
          </cell>
          <cell r="AC4" t="str">
            <v>CAS</v>
          </cell>
          <cell r="AD4" t="str">
            <v>CMFA</v>
          </cell>
          <cell r="AE4" t="str">
            <v>CMFA</v>
          </cell>
          <cell r="AF4"/>
        </row>
        <row r="5">
          <cell r="B5"/>
          <cell r="C5"/>
          <cell r="D5"/>
          <cell r="E5"/>
          <cell r="F5"/>
          <cell r="G5"/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</row>
        <row r="6">
          <cell r="B6" t="str">
            <v>Net Revenue</v>
          </cell>
          <cell r="C6">
            <v>1000643.7403791959</v>
          </cell>
          <cell r="D6">
            <v>1788656.9580601412</v>
          </cell>
          <cell r="E6">
            <v>987576.64278824162</v>
          </cell>
          <cell r="F6">
            <v>378024.30628563021</v>
          </cell>
          <cell r="G6">
            <v>1727935.6862154484</v>
          </cell>
          <cell r="H6">
            <v>769528.95959935454</v>
          </cell>
          <cell r="I6">
            <v>1640491.8744485488</v>
          </cell>
          <cell r="J6">
            <v>399058.67162233981</v>
          </cell>
          <cell r="K6">
            <v>1089195.0777272186</v>
          </cell>
          <cell r="L6">
            <v>3103728.9836368421</v>
          </cell>
          <cell r="M6">
            <v>838848.39570673055</v>
          </cell>
          <cell r="N6">
            <v>2042237.2581207245</v>
          </cell>
          <cell r="O6">
            <v>1536861.8016069219</v>
          </cell>
          <cell r="P6">
            <v>12233614.282747841</v>
          </cell>
          <cell r="Q6">
            <v>354912.98269812972</v>
          </cell>
          <cell r="R6">
            <v>1909918.3488651626</v>
          </cell>
          <cell r="S6">
            <v>2836870.3192951912</v>
          </cell>
          <cell r="T6">
            <v>1158044.6347713161</v>
          </cell>
          <cell r="U6">
            <v>3573652.9750882266</v>
          </cell>
          <cell r="V6">
            <v>2621460.4347379953</v>
          </cell>
          <cell r="W6">
            <v>3457194.7266975944</v>
          </cell>
          <cell r="X6">
            <v>2688546.8873930727</v>
          </cell>
          <cell r="Y6">
            <v>647894.73815485288</v>
          </cell>
          <cell r="Z6">
            <v>953724.38936687144</v>
          </cell>
          <cell r="AA6">
            <v>2171023.4221252264</v>
          </cell>
          <cell r="AB6">
            <v>2194223.8599643079</v>
          </cell>
          <cell r="AC6">
            <v>1355256.531090318</v>
          </cell>
          <cell r="AD6">
            <v>976436.71838710643</v>
          </cell>
          <cell r="AE6">
            <v>597436.58348571346</v>
          </cell>
          <cell r="AF6">
            <v>57033000.191066265</v>
          </cell>
        </row>
        <row r="7">
          <cell r="B7" t="str">
            <v>Gross Revenue</v>
          </cell>
          <cell r="C7">
            <v>1959852.2963584499</v>
          </cell>
          <cell r="D7">
            <v>4025854.1093957117</v>
          </cell>
          <cell r="E7">
            <v>2444656.4475407461</v>
          </cell>
          <cell r="F7">
            <v>859959.0578934392</v>
          </cell>
          <cell r="G7">
            <v>3571020.479142203</v>
          </cell>
          <cell r="H7">
            <v>881811.89325674332</v>
          </cell>
          <cell r="I7">
            <v>3144224.2207720447</v>
          </cell>
          <cell r="J7">
            <v>880518.97435727343</v>
          </cell>
          <cell r="K7">
            <v>2086923.0851888303</v>
          </cell>
          <cell r="L7">
            <v>6673954.4851696379</v>
          </cell>
          <cell r="M7">
            <v>1637311.8127121502</v>
          </cell>
          <cell r="N7">
            <v>4554611.0936199035</v>
          </cell>
          <cell r="O7">
            <v>3939496.0109982677</v>
          </cell>
          <cell r="P7">
            <v>19036424.942938767</v>
          </cell>
          <cell r="Q7">
            <v>443851.10256410256</v>
          </cell>
          <cell r="R7">
            <v>4974469.8507929426</v>
          </cell>
          <cell r="S7">
            <v>5097202.1114085689</v>
          </cell>
          <cell r="T7">
            <v>2191938.4121256405</v>
          </cell>
          <cell r="U7">
            <v>7160903.0252141468</v>
          </cell>
          <cell r="V7">
            <v>6839358.2945261383</v>
          </cell>
          <cell r="W7">
            <v>3520280.8117647059</v>
          </cell>
          <cell r="X7">
            <v>5781695.1352896784</v>
          </cell>
          <cell r="Y7">
            <v>1536278.0155568602</v>
          </cell>
          <cell r="Z7">
            <v>1964146.4945646182</v>
          </cell>
          <cell r="AA7">
            <v>4411585.9728935091</v>
          </cell>
          <cell r="AB7">
            <v>4680421.1233170759</v>
          </cell>
          <cell r="AC7">
            <v>2880314.9624979524</v>
          </cell>
          <cell r="AD7">
            <v>2141334.5567492023</v>
          </cell>
          <cell r="AE7">
            <v>1470694.4124569511</v>
          </cell>
          <cell r="AF7">
            <v>110791093.19106628</v>
          </cell>
        </row>
        <row r="8">
          <cell r="B8" t="str">
            <v>Financial Aid</v>
          </cell>
          <cell r="C8">
            <v>959208.55597925396</v>
          </cell>
          <cell r="D8">
            <v>2237197.1513355705</v>
          </cell>
          <cell r="E8">
            <v>1457079.8047525045</v>
          </cell>
          <cell r="F8">
            <v>481934.75160780898</v>
          </cell>
          <cell r="G8">
            <v>1843084.7929267546</v>
          </cell>
          <cell r="H8">
            <v>112282.93365738873</v>
          </cell>
          <cell r="I8">
            <v>1503732.346323496</v>
          </cell>
          <cell r="J8">
            <v>481460.30273493362</v>
          </cell>
          <cell r="K8">
            <v>997728.00746161165</v>
          </cell>
          <cell r="L8">
            <v>3570225.5015327958</v>
          </cell>
          <cell r="M8">
            <v>798463.41700541961</v>
          </cell>
          <cell r="N8">
            <v>2512373.8354991791</v>
          </cell>
          <cell r="O8">
            <v>2402634.2093913457</v>
          </cell>
          <cell r="P8">
            <v>6802810.6601909269</v>
          </cell>
          <cell r="Q8">
            <v>88938.11986597284</v>
          </cell>
          <cell r="R8">
            <v>3064551.50192778</v>
          </cell>
          <cell r="S8">
            <v>2260331.7921133777</v>
          </cell>
          <cell r="T8">
            <v>1033893.7773543245</v>
          </cell>
          <cell r="U8">
            <v>3587250.0501259202</v>
          </cell>
          <cell r="V8">
            <v>4217897.8597881431</v>
          </cell>
          <cell r="W8">
            <v>63086.08506711154</v>
          </cell>
          <cell r="X8">
            <v>3093148.2478966056</v>
          </cell>
          <cell r="Y8">
            <v>888383.27740200737</v>
          </cell>
          <cell r="Z8">
            <v>1010422.1051977468</v>
          </cell>
          <cell r="AA8">
            <v>2240562.5507682827</v>
          </cell>
          <cell r="AB8">
            <v>2486197.263352768</v>
          </cell>
          <cell r="AC8">
            <v>1525058.4314076344</v>
          </cell>
          <cell r="AD8">
            <v>1164897.8383620959</v>
          </cell>
          <cell r="AE8">
            <v>873257.82897123764</v>
          </cell>
          <cell r="AF8">
            <v>53758093.000000007</v>
          </cell>
        </row>
        <row r="9">
          <cell r="B9" t="str">
            <v>Old Financial Aid</v>
          </cell>
          <cell r="C9">
            <v>1053410.4863584498</v>
          </cell>
          <cell r="D9">
            <v>2456907.7543957117</v>
          </cell>
          <cell r="E9">
            <v>1600176.6625407459</v>
          </cell>
          <cell r="F9">
            <v>529264.58789343922</v>
          </cell>
          <cell r="G9">
            <v>2024090.4191422029</v>
          </cell>
          <cell r="H9">
            <v>123310.01325674332</v>
          </cell>
          <cell r="I9">
            <v>1651410.8557720445</v>
          </cell>
          <cell r="J9">
            <v>528743.54435727349</v>
          </cell>
          <cell r="K9">
            <v>1095712.8551888303</v>
          </cell>
          <cell r="L9">
            <v>3920850.1201696377</v>
          </cell>
          <cell r="M9">
            <v>876878.89271215023</v>
          </cell>
          <cell r="N9">
            <v>2759108.9836199032</v>
          </cell>
          <cell r="O9">
            <v>2638592.0509982682</v>
          </cell>
          <cell r="P9">
            <v>7470900.9229387678</v>
          </cell>
          <cell r="Q9">
            <v>97672.552564102516</v>
          </cell>
          <cell r="R9">
            <v>3365514.9007929424</v>
          </cell>
          <cell r="S9">
            <v>2482314.401408569</v>
          </cell>
          <cell r="T9">
            <v>1135430.3921256405</v>
          </cell>
          <cell r="U9">
            <v>3939546.6152141467</v>
          </cell>
          <cell r="V9">
            <v>4632129.0695261387</v>
          </cell>
          <cell r="W9">
            <v>69281.641764706932</v>
          </cell>
          <cell r="X9">
            <v>3396920.0752896778</v>
          </cell>
          <cell r="Y9">
            <v>975629.60055686033</v>
          </cell>
          <cell r="Z9">
            <v>1109653.6145646183</v>
          </cell>
          <cell r="AA9">
            <v>2460603.662893509</v>
          </cell>
          <cell r="AB9">
            <v>2730361.6633170759</v>
          </cell>
          <cell r="AC9">
            <v>1674831.3324979525</v>
          </cell>
          <cell r="AD9">
            <v>1279300.0967492023</v>
          </cell>
          <cell r="AE9">
            <v>959018.71245695115</v>
          </cell>
          <cell r="AF9">
            <v>59037566.481066264</v>
          </cell>
        </row>
        <row r="10">
          <cell r="B10"/>
          <cell r="C10"/>
          <cell r="D10"/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</row>
        <row r="11">
          <cell r="B11" t="str">
            <v>Total Salary and Benefit Costs</v>
          </cell>
          <cell r="C11">
            <v>550186.55809235433</v>
          </cell>
          <cell r="D11">
            <v>1251355.534</v>
          </cell>
          <cell r="E11">
            <v>880295.00490109716</v>
          </cell>
          <cell r="F11">
            <v>194281.88</v>
          </cell>
          <cell r="G11">
            <v>1078010.362</v>
          </cell>
          <cell r="H11">
            <v>551513.18299999996</v>
          </cell>
          <cell r="I11">
            <v>867935.9</v>
          </cell>
          <cell r="J11">
            <v>351486.40799999994</v>
          </cell>
          <cell r="K11">
            <v>783194.1</v>
          </cell>
          <cell r="L11">
            <v>1294342.92</v>
          </cell>
          <cell r="M11">
            <v>448624.8</v>
          </cell>
          <cell r="N11">
            <v>1095033.1469999999</v>
          </cell>
          <cell r="O11">
            <v>956477.6</v>
          </cell>
          <cell r="P11">
            <v>7820494.6689999998</v>
          </cell>
          <cell r="Q11">
            <v>704612.67500000005</v>
          </cell>
          <cell r="R11">
            <v>761863.40100000007</v>
          </cell>
          <cell r="S11">
            <v>1690643.5</v>
          </cell>
          <cell r="T11">
            <v>635514.1</v>
          </cell>
          <cell r="U11">
            <v>1487354.1410000001</v>
          </cell>
          <cell r="V11">
            <v>3461858.8030000003</v>
          </cell>
          <cell r="W11">
            <v>2413055.6579999998</v>
          </cell>
          <cell r="X11">
            <v>1031313.0099999999</v>
          </cell>
          <cell r="Y11">
            <v>417250.39200000005</v>
          </cell>
          <cell r="Z11">
            <v>550451.32999999996</v>
          </cell>
          <cell r="AA11">
            <v>876916.95</v>
          </cell>
          <cell r="AB11">
            <v>846893.19000000006</v>
          </cell>
          <cell r="AC11">
            <v>655038.397</v>
          </cell>
          <cell r="AD11">
            <v>484283.54</v>
          </cell>
          <cell r="AE11">
            <v>561054.80599999998</v>
          </cell>
          <cell r="AF11">
            <v>34701335.958993457</v>
          </cell>
        </row>
        <row r="12">
          <cell r="B12" t="str">
            <v>All Salaries</v>
          </cell>
          <cell r="C12">
            <v>423220.42930181103</v>
          </cell>
          <cell r="D12">
            <v>962581.18</v>
          </cell>
          <cell r="E12">
            <v>677150.00377007469</v>
          </cell>
          <cell r="F12">
            <v>149447.6</v>
          </cell>
          <cell r="G12">
            <v>829238.74</v>
          </cell>
          <cell r="H12">
            <v>424240.91</v>
          </cell>
          <cell r="I12">
            <v>667643</v>
          </cell>
          <cell r="J12">
            <v>270374.15999999997</v>
          </cell>
          <cell r="K12">
            <v>602457</v>
          </cell>
          <cell r="L12">
            <v>995648.4</v>
          </cell>
          <cell r="M12">
            <v>345096</v>
          </cell>
          <cell r="N12">
            <v>842333.19</v>
          </cell>
          <cell r="O12">
            <v>735752</v>
          </cell>
          <cell r="P12">
            <v>6015765.1299999999</v>
          </cell>
          <cell r="Q12">
            <v>542009.75</v>
          </cell>
          <cell r="R12">
            <v>586048.77</v>
          </cell>
          <cell r="S12">
            <v>1300495</v>
          </cell>
          <cell r="T12">
            <v>488857</v>
          </cell>
          <cell r="U12">
            <v>1144118.57</v>
          </cell>
          <cell r="V12">
            <v>2662968.31</v>
          </cell>
          <cell r="W12">
            <v>1856196.66</v>
          </cell>
          <cell r="X12">
            <v>793317.7</v>
          </cell>
          <cell r="Y12">
            <v>320961.84000000003</v>
          </cell>
          <cell r="Z12">
            <v>423424.1</v>
          </cell>
          <cell r="AA12">
            <v>674551.5</v>
          </cell>
          <cell r="AB12">
            <v>651456.30000000005</v>
          </cell>
          <cell r="AC12">
            <v>503875.69</v>
          </cell>
          <cell r="AD12">
            <v>372525.8</v>
          </cell>
          <cell r="AE12">
            <v>431580.62</v>
          </cell>
          <cell r="AF12">
            <v>26693335.353071891</v>
          </cell>
        </row>
        <row r="13">
          <cell r="B13" t="str">
            <v>All Benefits</v>
          </cell>
          <cell r="C13">
            <v>126966.1287905433</v>
          </cell>
          <cell r="D13">
            <v>288774.35399999999</v>
          </cell>
          <cell r="E13">
            <v>203145.00113102241</v>
          </cell>
          <cell r="F13">
            <v>44834.28</v>
          </cell>
          <cell r="G13">
            <v>248771.62199999997</v>
          </cell>
          <cell r="H13">
            <v>127272.27299999999</v>
          </cell>
          <cell r="I13">
            <v>200292.9</v>
          </cell>
          <cell r="J13">
            <v>81112.247999999992</v>
          </cell>
          <cell r="K13">
            <v>180737.1</v>
          </cell>
          <cell r="L13">
            <v>298694.52</v>
          </cell>
          <cell r="M13">
            <v>103528.8</v>
          </cell>
          <cell r="N13">
            <v>252699.95699999997</v>
          </cell>
          <cell r="O13">
            <v>220725.6</v>
          </cell>
          <cell r="P13">
            <v>1804729.5389999999</v>
          </cell>
          <cell r="Q13">
            <v>162602.92499999999</v>
          </cell>
          <cell r="R13">
            <v>175814.63099999999</v>
          </cell>
          <cell r="S13">
            <v>390148.5</v>
          </cell>
          <cell r="T13">
            <v>146657.1</v>
          </cell>
          <cell r="U13">
            <v>343235.571</v>
          </cell>
          <cell r="V13">
            <v>798890.49300000002</v>
          </cell>
          <cell r="W13">
            <v>556858.99799999991</v>
          </cell>
          <cell r="X13">
            <v>237995.30999999997</v>
          </cell>
          <cell r="Y13">
            <v>96288.552000000011</v>
          </cell>
          <cell r="Z13">
            <v>127027.23</v>
          </cell>
          <cell r="AA13">
            <v>202365.45</v>
          </cell>
          <cell r="AB13">
            <v>195436.89</v>
          </cell>
          <cell r="AC13">
            <v>151162.70699999999</v>
          </cell>
          <cell r="AD13">
            <v>111757.73999999999</v>
          </cell>
          <cell r="AE13">
            <v>129474.18599999999</v>
          </cell>
          <cell r="AF13">
            <v>8008000.6059215646</v>
          </cell>
        </row>
        <row r="14">
          <cell r="B14"/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</row>
        <row r="15">
          <cell r="B15" t="str">
            <v>Total Direct Costs</v>
          </cell>
          <cell r="C15">
            <v>583278.54508478392</v>
          </cell>
          <cell r="D15">
            <v>1300561.814</v>
          </cell>
          <cell r="E15">
            <v>916266.60930478293</v>
          </cell>
          <cell r="F15">
            <v>201264.72</v>
          </cell>
          <cell r="G15">
            <v>1156335.852</v>
          </cell>
          <cell r="H15">
            <v>596031.21299999999</v>
          </cell>
          <cell r="I15">
            <v>909506.67</v>
          </cell>
          <cell r="J15">
            <v>359641.34799999994</v>
          </cell>
          <cell r="K15">
            <v>816025.1</v>
          </cell>
          <cell r="L15">
            <v>1327447.44</v>
          </cell>
          <cell r="M15">
            <v>474732.79999999999</v>
          </cell>
          <cell r="N15">
            <v>1119883.4569999999</v>
          </cell>
          <cell r="O15">
            <v>977186.02</v>
          </cell>
          <cell r="P15">
            <v>8820651.1089999992</v>
          </cell>
          <cell r="Q15">
            <v>842551.03500000003</v>
          </cell>
          <cell r="R15">
            <v>783627.46100000013</v>
          </cell>
          <cell r="S15">
            <v>1772413.5</v>
          </cell>
          <cell r="T15">
            <v>670063.1</v>
          </cell>
          <cell r="U15">
            <v>1532156.1410000001</v>
          </cell>
          <cell r="V15">
            <v>3718601.8030000003</v>
          </cell>
          <cell r="W15">
            <v>2602513.5079999999</v>
          </cell>
          <cell r="X15">
            <v>1053270.9099999999</v>
          </cell>
          <cell r="Y15">
            <v>433741.10200000007</v>
          </cell>
          <cell r="Z15">
            <v>570632.25</v>
          </cell>
          <cell r="AA15">
            <v>908558.66999999993</v>
          </cell>
          <cell r="AB15">
            <v>866611.89</v>
          </cell>
          <cell r="AC15">
            <v>673491.73699999996</v>
          </cell>
          <cell r="AD15">
            <v>499956.44999999995</v>
          </cell>
          <cell r="AE15">
            <v>585556.67599999998</v>
          </cell>
          <cell r="AF15">
            <v>37072558.930389576</v>
          </cell>
        </row>
        <row r="16">
          <cell r="B16" t="str">
            <v>All Faculty costs</v>
          </cell>
          <cell r="C16">
            <v>456340.14661356789</v>
          </cell>
          <cell r="D16">
            <v>1077468.7</v>
          </cell>
          <cell r="E16">
            <v>709966.5</v>
          </cell>
          <cell r="F16">
            <v>177030.90599999999</v>
          </cell>
          <cell r="G16">
            <v>844661.57099999988</v>
          </cell>
          <cell r="H16">
            <v>411167.04199999996</v>
          </cell>
          <cell r="I16">
            <v>737181.9360000001</v>
          </cell>
          <cell r="J16">
            <v>286409.65400000004</v>
          </cell>
          <cell r="K16">
            <v>686880.23741612572</v>
          </cell>
          <cell r="L16">
            <v>1181332.6979999999</v>
          </cell>
          <cell r="M16">
            <v>371973.43778308405</v>
          </cell>
          <cell r="N16">
            <v>997025.24899999995</v>
          </cell>
          <cell r="O16">
            <v>844694.56099999999</v>
          </cell>
          <cell r="P16">
            <v>6895983.5479999995</v>
          </cell>
          <cell r="Q16">
            <v>363480.18099999998</v>
          </cell>
          <cell r="R16">
            <v>679770.74700000009</v>
          </cell>
          <cell r="S16">
            <v>1450567.9506210701</v>
          </cell>
          <cell r="T16">
            <v>534078.85987031856</v>
          </cell>
          <cell r="U16">
            <v>1256637.9509999999</v>
          </cell>
          <cell r="V16">
            <v>2976006.9040000001</v>
          </cell>
          <cell r="W16">
            <v>2126171.4369999999</v>
          </cell>
          <cell r="X16">
            <v>936978.30199999991</v>
          </cell>
          <cell r="Y16">
            <v>363297.59200000006</v>
          </cell>
          <cell r="Z16">
            <v>477910.18599999999</v>
          </cell>
          <cell r="AA16">
            <v>769975.29500000004</v>
          </cell>
          <cell r="AB16">
            <v>785783.66099999996</v>
          </cell>
          <cell r="AC16">
            <v>573393.86</v>
          </cell>
          <cell r="AD16">
            <v>417797.28900000005</v>
          </cell>
          <cell r="AE16">
            <v>448556.79399999999</v>
          </cell>
          <cell r="AF16">
            <v>29838523.196304165</v>
          </cell>
        </row>
        <row r="17">
          <cell r="B17" t="str">
            <v xml:space="preserve">*Full-time faculty salary </v>
          </cell>
          <cell r="C17">
            <v>325030.28175121761</v>
          </cell>
          <cell r="D17">
            <v>789149</v>
          </cell>
          <cell r="E17">
            <v>509165</v>
          </cell>
          <cell r="F17">
            <v>128177.66</v>
          </cell>
          <cell r="G17">
            <v>540906.99</v>
          </cell>
          <cell r="H17">
            <v>303128.53999999998</v>
          </cell>
          <cell r="I17">
            <v>476140.34</v>
          </cell>
          <cell r="J17">
            <v>178003.54</v>
          </cell>
          <cell r="K17">
            <v>493038.28175121761</v>
          </cell>
          <cell r="L17">
            <v>801210.91</v>
          </cell>
          <cell r="M17">
            <v>241941.76291659268</v>
          </cell>
          <cell r="N17">
            <v>735795.88</v>
          </cell>
          <cell r="O17">
            <v>587188.24</v>
          </cell>
          <cell r="P17">
            <v>5135997.5299999993</v>
          </cell>
          <cell r="Q17">
            <v>234021.88</v>
          </cell>
          <cell r="R17">
            <v>479900.7</v>
          </cell>
          <cell r="S17">
            <v>1045803.8665746312</v>
          </cell>
          <cell r="T17">
            <v>394696.44878089876</v>
          </cell>
          <cell r="U17">
            <v>692466.47</v>
          </cell>
          <cell r="V17">
            <v>1779655.6099999999</v>
          </cell>
          <cell r="W17">
            <v>1269150.18</v>
          </cell>
          <cell r="X17">
            <v>713060.34</v>
          </cell>
          <cell r="Y17">
            <v>263305.92000000004</v>
          </cell>
          <cell r="Z17">
            <v>361469.42</v>
          </cell>
          <cell r="AA17">
            <v>549181.22</v>
          </cell>
          <cell r="AB17">
            <v>564756.80000000005</v>
          </cell>
          <cell r="AC17">
            <v>434918.38</v>
          </cell>
          <cell r="AD17">
            <v>314382.52</v>
          </cell>
          <cell r="AE17">
            <v>271790.88</v>
          </cell>
          <cell r="AF17">
            <v>20613434.591774561</v>
          </cell>
        </row>
        <row r="18">
          <cell r="B18" t="str">
            <v>*PT Faculty Salary</v>
          </cell>
          <cell r="C18">
            <v>14961.963601748921</v>
          </cell>
          <cell r="D18">
            <v>22750</v>
          </cell>
          <cell r="E18">
            <v>20000</v>
          </cell>
          <cell r="F18">
            <v>7999.96</v>
          </cell>
          <cell r="G18">
            <v>108832.68</v>
          </cell>
          <cell r="H18">
            <v>7000</v>
          </cell>
          <cell r="I18">
            <v>68999.98</v>
          </cell>
          <cell r="J18">
            <v>33100.04</v>
          </cell>
          <cell r="K18">
            <v>26906.959374647067</v>
          </cell>
          <cell r="L18">
            <v>94429.95</v>
          </cell>
          <cell r="M18">
            <v>37492.564963456542</v>
          </cell>
          <cell r="N18">
            <v>21915.85</v>
          </cell>
          <cell r="O18">
            <v>54499.93</v>
          </cell>
          <cell r="P18">
            <v>64000.03</v>
          </cell>
          <cell r="Q18">
            <v>29834.49</v>
          </cell>
          <cell r="R18">
            <v>32999.89</v>
          </cell>
          <cell r="S18">
            <v>49035.886335973926</v>
          </cell>
          <cell r="T18">
            <v>7268.4157241735365</v>
          </cell>
          <cell r="U18">
            <v>268389.59999999998</v>
          </cell>
          <cell r="V18">
            <v>429180.97</v>
          </cell>
          <cell r="W18">
            <v>297654.71000000002</v>
          </cell>
          <cell r="X18">
            <v>0</v>
          </cell>
          <cell r="Y18">
            <v>9999.92</v>
          </cell>
          <cell r="Z18">
            <v>0</v>
          </cell>
          <cell r="AA18">
            <v>30799.93</v>
          </cell>
          <cell r="AB18">
            <v>31999.97</v>
          </cell>
          <cell r="AC18">
            <v>0.02</v>
          </cell>
          <cell r="AD18">
            <v>7000.01</v>
          </cell>
          <cell r="AE18">
            <v>61868.2</v>
          </cell>
          <cell r="AF18">
            <v>1838921.9199999997</v>
          </cell>
        </row>
        <row r="19">
          <cell r="B19" t="str">
            <v>*Overload/Stipends</v>
          </cell>
          <cell r="C19">
            <v>11038.636657470299</v>
          </cell>
          <cell r="D19">
            <v>22000</v>
          </cell>
          <cell r="E19">
            <v>22052</v>
          </cell>
          <cell r="F19">
            <v>0</v>
          </cell>
          <cell r="G19">
            <v>0</v>
          </cell>
          <cell r="H19">
            <v>7999.94</v>
          </cell>
          <cell r="I19">
            <v>28499.52</v>
          </cell>
          <cell r="J19">
            <v>11975</v>
          </cell>
          <cell r="K19">
            <v>10951.423952501571</v>
          </cell>
          <cell r="L19">
            <v>16999.580000000002</v>
          </cell>
          <cell r="M19">
            <v>8708.8115390200219</v>
          </cell>
          <cell r="N19">
            <v>12000</v>
          </cell>
          <cell r="O19">
            <v>10499.94</v>
          </cell>
          <cell r="P19">
            <v>135986.72</v>
          </cell>
          <cell r="Q19">
            <v>20466.900000000001</v>
          </cell>
          <cell r="R19">
            <v>12999.98</v>
          </cell>
          <cell r="S19">
            <v>27276.271837283464</v>
          </cell>
          <cell r="T19">
            <v>11524.536013724635</v>
          </cell>
          <cell r="U19">
            <v>7525.06</v>
          </cell>
          <cell r="V19">
            <v>104519.35</v>
          </cell>
          <cell r="W19">
            <v>89325.08</v>
          </cell>
          <cell r="X19">
            <v>9999.86</v>
          </cell>
          <cell r="Y19">
            <v>8000</v>
          </cell>
          <cell r="Z19">
            <v>7999.94</v>
          </cell>
          <cell r="AA19">
            <v>15999.800000000001</v>
          </cell>
          <cell r="AB19">
            <v>9999.86</v>
          </cell>
          <cell r="AC19">
            <v>7999.94</v>
          </cell>
          <cell r="AD19">
            <v>0</v>
          </cell>
          <cell r="AE19">
            <v>14799.99</v>
          </cell>
          <cell r="AF19">
            <v>647148.13999999978</v>
          </cell>
        </row>
        <row r="20">
          <cell r="B20" t="str">
            <v>*Faculty Benefits</v>
          </cell>
          <cell r="C20">
            <v>105309.26460313106</v>
          </cell>
          <cell r="D20">
            <v>243569.69999999998</v>
          </cell>
          <cell r="E20">
            <v>158749.5</v>
          </cell>
          <cell r="F20">
            <v>40853.286</v>
          </cell>
          <cell r="G20">
            <v>194921.90099999998</v>
          </cell>
          <cell r="H20">
            <v>93038.561999999991</v>
          </cell>
          <cell r="I20">
            <v>163542.09600000002</v>
          </cell>
          <cell r="J20">
            <v>63331.074000000001</v>
          </cell>
          <cell r="K20">
            <v>155983.5723377594</v>
          </cell>
          <cell r="L20">
            <v>268692.25799999997</v>
          </cell>
          <cell r="M20">
            <v>83830.298364014772</v>
          </cell>
          <cell r="N20">
            <v>227313.519</v>
          </cell>
          <cell r="O20">
            <v>192506.451</v>
          </cell>
          <cell r="P20">
            <v>1559999.2679999999</v>
          </cell>
          <cell r="Q20">
            <v>79156.910999999993</v>
          </cell>
          <cell r="R20">
            <v>153870.177</v>
          </cell>
          <cell r="S20">
            <v>328451.92587318155</v>
          </cell>
          <cell r="T20">
            <v>120589.45935152168</v>
          </cell>
          <cell r="U20">
            <v>288256.821</v>
          </cell>
          <cell r="V20">
            <v>662650.97400000005</v>
          </cell>
          <cell r="W20">
            <v>470041.46699999995</v>
          </cell>
          <cell r="X20">
            <v>213918.10199999998</v>
          </cell>
          <cell r="Y20">
            <v>81991.752000000008</v>
          </cell>
          <cell r="Z20">
            <v>108440.82599999999</v>
          </cell>
          <cell r="AA20">
            <v>173994.345</v>
          </cell>
          <cell r="AB20">
            <v>179027.03099999999</v>
          </cell>
          <cell r="AC20">
            <v>130475.52</v>
          </cell>
          <cell r="AD20">
            <v>96414.759000000005</v>
          </cell>
          <cell r="AE20">
            <v>100097.724</v>
          </cell>
          <cell r="AF20">
            <v>6739018.5445296085</v>
          </cell>
        </row>
        <row r="21">
          <cell r="B21" t="str">
            <v>Other Direct Costs</v>
          </cell>
          <cell r="C21">
            <v>126938.39847121603</v>
          </cell>
          <cell r="D21">
            <v>223093.11400000006</v>
          </cell>
          <cell r="E21">
            <v>206300.10930478293</v>
          </cell>
          <cell r="F21">
            <v>24233.814000000013</v>
          </cell>
          <cell r="G21">
            <v>311674.28100000008</v>
          </cell>
          <cell r="H21">
            <v>184864.17100000003</v>
          </cell>
          <cell r="I21">
            <v>172324.73399999994</v>
          </cell>
          <cell r="J21">
            <v>73231.693999999901</v>
          </cell>
          <cell r="K21">
            <v>129144.86258387426</v>
          </cell>
          <cell r="L21">
            <v>146114.74200000009</v>
          </cell>
          <cell r="M21">
            <v>102759.36221691594</v>
          </cell>
          <cell r="N21">
            <v>122858.20799999998</v>
          </cell>
          <cell r="O21">
            <v>132491.45900000003</v>
          </cell>
          <cell r="P21">
            <v>1924667.5609999998</v>
          </cell>
          <cell r="Q21">
            <v>479070.85400000005</v>
          </cell>
          <cell r="R21">
            <v>103856.71400000004</v>
          </cell>
          <cell r="S21">
            <v>321845.54937892989</v>
          </cell>
          <cell r="T21">
            <v>135984.24012968142</v>
          </cell>
          <cell r="U21">
            <v>275518.19000000018</v>
          </cell>
          <cell r="V21">
            <v>742594.89900000021</v>
          </cell>
          <cell r="W21">
            <v>476342.071</v>
          </cell>
          <cell r="X21">
            <v>116292.60800000001</v>
          </cell>
          <cell r="Y21">
            <v>70443.510000000009</v>
          </cell>
          <cell r="Z21">
            <v>92722.064000000013</v>
          </cell>
          <cell r="AA21">
            <v>138583.37499999988</v>
          </cell>
          <cell r="AB21">
            <v>80828.22900000005</v>
          </cell>
          <cell r="AC21">
            <v>100097.87699999998</v>
          </cell>
          <cell r="AD21">
            <v>82159.160999999905</v>
          </cell>
          <cell r="AE21">
            <v>136999.88199999998</v>
          </cell>
          <cell r="AF21">
            <v>7234035.7340854025</v>
          </cell>
        </row>
        <row r="22">
          <cell r="B22" t="str">
            <v>*Academic FT staff salary</v>
          </cell>
          <cell r="C22">
            <v>64644.14220128391</v>
          </cell>
          <cell r="D22">
            <v>82270</v>
          </cell>
          <cell r="E22">
            <v>96521</v>
          </cell>
          <cell r="F22" t="str">
            <v>0</v>
          </cell>
          <cell r="G22">
            <v>126378.07</v>
          </cell>
          <cell r="H22">
            <v>82806.429999999993</v>
          </cell>
          <cell r="I22">
            <v>40278.19</v>
          </cell>
          <cell r="J22">
            <v>44500.58</v>
          </cell>
          <cell r="K22">
            <v>64133.409700822296</v>
          </cell>
          <cell r="L22">
            <v>32690.25</v>
          </cell>
          <cell r="M22">
            <v>51000.288260380868</v>
          </cell>
          <cell r="N22">
            <v>30270.46</v>
          </cell>
          <cell r="O22">
            <v>50302.29</v>
          </cell>
          <cell r="P22">
            <v>230248.34999999998</v>
          </cell>
          <cell r="Q22">
            <v>173685.61</v>
          </cell>
          <cell r="R22">
            <v>25585.200000000001</v>
          </cell>
          <cell r="S22">
            <v>159734.50799080005</v>
          </cell>
          <cell r="T22">
            <v>67489.651846712892</v>
          </cell>
          <cell r="U22">
            <v>155931.94</v>
          </cell>
          <cell r="V22">
            <v>285007.74</v>
          </cell>
          <cell r="W22">
            <v>105853.41</v>
          </cell>
          <cell r="X22">
            <v>0</v>
          </cell>
          <cell r="Y22">
            <v>21930</v>
          </cell>
          <cell r="Z22">
            <v>35567.78</v>
          </cell>
          <cell r="AA22">
            <v>41188.519999999997</v>
          </cell>
          <cell r="AB22">
            <v>11784.64</v>
          </cell>
          <cell r="AC22">
            <v>33238.35</v>
          </cell>
          <cell r="AD22">
            <v>18740.48</v>
          </cell>
          <cell r="AE22">
            <v>74480.549999999988</v>
          </cell>
          <cell r="AF22">
            <v>2206261.8399999994</v>
          </cell>
        </row>
        <row r="23">
          <cell r="B23" t="str">
            <v>*Student assistant salaries</v>
          </cell>
          <cell r="C23">
            <v>7545.405090090333</v>
          </cell>
          <cell r="D23">
            <v>1008</v>
          </cell>
          <cell r="E23">
            <v>1050</v>
          </cell>
          <cell r="F23">
            <v>0</v>
          </cell>
          <cell r="G23">
            <v>12660</v>
          </cell>
          <cell r="H23">
            <v>325</v>
          </cell>
          <cell r="I23">
            <v>12396.99</v>
          </cell>
          <cell r="J23">
            <v>1795</v>
          </cell>
          <cell r="K23">
            <v>7485.7912801234788</v>
          </cell>
          <cell r="L23">
            <v>2354.75</v>
          </cell>
          <cell r="M23">
            <v>5952.8647381186711</v>
          </cell>
          <cell r="N23">
            <v>1760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18644.559717476146</v>
          </cell>
          <cell r="T23">
            <v>7877.5391741913754</v>
          </cell>
          <cell r="U23">
            <v>14268</v>
          </cell>
          <cell r="V23">
            <v>23427.48</v>
          </cell>
          <cell r="W23">
            <v>0</v>
          </cell>
          <cell r="X23">
            <v>0</v>
          </cell>
          <cell r="Y23">
            <v>770</v>
          </cell>
          <cell r="Z23">
            <v>0</v>
          </cell>
          <cell r="AA23">
            <v>0</v>
          </cell>
          <cell r="AB23">
            <v>0</v>
          </cell>
          <cell r="AC23">
            <v>1821</v>
          </cell>
          <cell r="AD23">
            <v>628.92999999999995</v>
          </cell>
          <cell r="AE23">
            <v>2266</v>
          </cell>
          <cell r="AF23">
            <v>124037.31</v>
          </cell>
        </row>
        <row r="24">
          <cell r="B24" t="str">
            <v>Operating Expenses</v>
          </cell>
          <cell r="C24">
            <v>33091.986992429571</v>
          </cell>
          <cell r="D24">
            <v>49206.28</v>
          </cell>
          <cell r="E24">
            <v>35971.604403685829</v>
          </cell>
          <cell r="F24">
            <v>6982.84</v>
          </cell>
          <cell r="G24">
            <v>78325.489999999991</v>
          </cell>
          <cell r="H24">
            <v>44518.03</v>
          </cell>
          <cell r="I24">
            <v>41570.770000000004</v>
          </cell>
          <cell r="J24">
            <v>8154.94</v>
          </cell>
          <cell r="K24">
            <v>32831</v>
          </cell>
          <cell r="L24">
            <v>33104.520000000004</v>
          </cell>
          <cell r="M24">
            <v>26108</v>
          </cell>
          <cell r="N24">
            <v>24850.31</v>
          </cell>
          <cell r="O24">
            <v>20708.419999999998</v>
          </cell>
          <cell r="P24">
            <v>1000156.44</v>
          </cell>
          <cell r="Q24">
            <v>137938.35999999999</v>
          </cell>
          <cell r="R24">
            <v>21764.06</v>
          </cell>
          <cell r="S24">
            <v>81770</v>
          </cell>
          <cell r="T24">
            <v>34549</v>
          </cell>
          <cell r="U24">
            <v>44802</v>
          </cell>
          <cell r="V24">
            <v>256743</v>
          </cell>
          <cell r="W24">
            <v>189457.85</v>
          </cell>
          <cell r="X24">
            <v>21957.9</v>
          </cell>
          <cell r="Y24">
            <v>16490.71</v>
          </cell>
          <cell r="Z24">
            <v>20180.919999999998</v>
          </cell>
          <cell r="AA24">
            <v>31641.72</v>
          </cell>
          <cell r="AB24">
            <v>19718.7</v>
          </cell>
          <cell r="AC24">
            <v>18453.34</v>
          </cell>
          <cell r="AD24">
            <v>15672.91</v>
          </cell>
          <cell r="AE24">
            <v>24501.87</v>
          </cell>
          <cell r="AF24">
            <v>2371222.9713961156</v>
          </cell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</row>
        <row r="26">
          <cell r="B26" t="str">
            <v>Profitability - Only Faculty Costs</v>
          </cell>
          <cell r="C26">
            <v>544303.59376562806</v>
          </cell>
          <cell r="D26">
            <v>711188.25806014123</v>
          </cell>
          <cell r="E26">
            <v>277610.14278824162</v>
          </cell>
          <cell r="F26">
            <v>200993.40028563022</v>
          </cell>
          <cell r="G26">
            <v>883274.11521544855</v>
          </cell>
          <cell r="H26">
            <v>358361.91759935458</v>
          </cell>
          <cell r="I26">
            <v>903309.93844854867</v>
          </cell>
          <cell r="J26">
            <v>112649.01762233977</v>
          </cell>
          <cell r="K26">
            <v>402314.84031109291</v>
          </cell>
          <cell r="L26">
            <v>1922396.2856368423</v>
          </cell>
          <cell r="M26">
            <v>466874.95792364649</v>
          </cell>
          <cell r="N26">
            <v>1045212.0091207245</v>
          </cell>
          <cell r="O26">
            <v>692167.24060692196</v>
          </cell>
          <cell r="P26">
            <v>5337630.734747841</v>
          </cell>
          <cell r="Q26">
            <v>-8567.1983018702595</v>
          </cell>
          <cell r="R26">
            <v>1230147.6018651626</v>
          </cell>
          <cell r="S26">
            <v>1386302.3686741211</v>
          </cell>
          <cell r="T26">
            <v>623965.77490099752</v>
          </cell>
          <cell r="U26">
            <v>2317015.0240882267</v>
          </cell>
          <cell r="V26">
            <v>-354546.46926200483</v>
          </cell>
          <cell r="W26">
            <v>1331023.2896975945</v>
          </cell>
          <cell r="X26">
            <v>1751568.5853930728</v>
          </cell>
          <cell r="Y26">
            <v>284597.14615485282</v>
          </cell>
          <cell r="Z26">
            <v>475814.20336687146</v>
          </cell>
          <cell r="AA26">
            <v>1401048.1271252264</v>
          </cell>
          <cell r="AB26">
            <v>1408440.198964308</v>
          </cell>
          <cell r="AC26">
            <v>781862.67109031801</v>
          </cell>
          <cell r="AD26">
            <v>558639.42938710633</v>
          </cell>
          <cell r="AE26">
            <v>148879.78948571347</v>
          </cell>
          <cell r="AF26">
            <v>27194476.9947621</v>
          </cell>
        </row>
        <row r="27">
          <cell r="B27" t="str">
            <v>Profitability - Only Faculty Costs</v>
          </cell>
          <cell r="C27">
            <v>0.54395342897899224</v>
          </cell>
          <cell r="D27">
            <v>0.39761020404463071</v>
          </cell>
          <cell r="E27">
            <v>0.28110237804375393</v>
          </cell>
          <cell r="F27">
            <v>0.53169438298965421</v>
          </cell>
          <cell r="G27">
            <v>0.51117302701815781</v>
          </cell>
          <cell r="H27">
            <v>0.46568996933647716</v>
          </cell>
          <cell r="I27">
            <v>0.55063359503209741</v>
          </cell>
          <cell r="J27">
            <v>0.28228685562545119</v>
          </cell>
          <cell r="K27">
            <v>0.36936894826093758</v>
          </cell>
          <cell r="L27">
            <v>0.61938277980194167</v>
          </cell>
          <cell r="M27">
            <v>0.556566550419762</v>
          </cell>
          <cell r="N27">
            <v>0.51179754211444228</v>
          </cell>
          <cell r="O27">
            <v>0.45037702146230796</v>
          </cell>
          <cell r="P27">
            <v>0.43630856845593913</v>
          </cell>
          <cell r="Q27">
            <v>-2.4138869862523647E-2</v>
          </cell>
          <cell r="R27">
            <v>0.64408387018015356</v>
          </cell>
          <cell r="S27">
            <v>0.488673154794944</v>
          </cell>
          <cell r="T27">
            <v>0.53880978000836266</v>
          </cell>
          <cell r="U27">
            <v>0.64836038648409167</v>
          </cell>
          <cell r="V27">
            <v>-0.13524769039569365</v>
          </cell>
          <cell r="W27">
            <v>0.38500096029274689</v>
          </cell>
          <cell r="X27">
            <v>0.65149266825376695</v>
          </cell>
          <cell r="Y27">
            <v>0.43926448139609903</v>
          </cell>
          <cell r="Z27">
            <v>0.49890115915221589</v>
          </cell>
          <cell r="AA27">
            <v>0.64533994099139336</v>
          </cell>
          <cell r="AB27">
            <v>0.64188537216399533</v>
          </cell>
          <cell r="AC27">
            <v>0.57691119958027526</v>
          </cell>
          <cell r="AD27">
            <v>0.57212046502089331</v>
          </cell>
          <cell r="AE27">
            <v>0.24919764473926567</v>
          </cell>
          <cell r="AF27"/>
        </row>
        <row r="28">
          <cell r="B28"/>
          <cell r="C28"/>
          <cell r="D28"/>
          <cell r="E28"/>
          <cell r="F28"/>
          <cell r="G28"/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</row>
        <row r="29">
          <cell r="B29" t="str">
            <v>Direct Program Profitability</v>
          </cell>
          <cell r="C29">
            <v>417365.19529441197</v>
          </cell>
          <cell r="D29">
            <v>488095.14406014117</v>
          </cell>
          <cell r="E29">
            <v>71310.033483458683</v>
          </cell>
          <cell r="F29">
            <v>176759.58628563021</v>
          </cell>
          <cell r="G29">
            <v>571599.83421544847</v>
          </cell>
          <cell r="H29">
            <v>173497.74659935455</v>
          </cell>
          <cell r="I29">
            <v>730985.20444854873</v>
          </cell>
          <cell r="J29">
            <v>39417.323622339871</v>
          </cell>
          <cell r="K29">
            <v>273169.97772721865</v>
          </cell>
          <cell r="L29">
            <v>1776281.5436368422</v>
          </cell>
          <cell r="M29">
            <v>364115.59570673056</v>
          </cell>
          <cell r="N29">
            <v>922353.80112072453</v>
          </cell>
          <cell r="O29">
            <v>559675.78160692193</v>
          </cell>
          <cell r="P29">
            <v>3412963.1737478413</v>
          </cell>
          <cell r="Q29">
            <v>-487638.05230187031</v>
          </cell>
          <cell r="R29">
            <v>1126290.8878651625</v>
          </cell>
          <cell r="S29">
            <v>1064456.8192951912</v>
          </cell>
          <cell r="T29">
            <v>487981.5347713161</v>
          </cell>
          <cell r="U29">
            <v>2041496.8340882265</v>
          </cell>
          <cell r="V29">
            <v>-1097141.368262005</v>
          </cell>
          <cell r="W29">
            <v>854681.21869759448</v>
          </cell>
          <cell r="X29">
            <v>1635275.9773930728</v>
          </cell>
          <cell r="Y29">
            <v>214153.63615485281</v>
          </cell>
          <cell r="Z29">
            <v>383092.13936687144</v>
          </cell>
          <cell r="AA29">
            <v>1262464.7521252264</v>
          </cell>
          <cell r="AB29">
            <v>1327611.9699643077</v>
          </cell>
          <cell r="AC29">
            <v>681764.79409031803</v>
          </cell>
          <cell r="AD29">
            <v>476480.26838710648</v>
          </cell>
          <cell r="AE29">
            <v>11879.907485713484</v>
          </cell>
          <cell r="AF29">
            <v>19960441.260676689</v>
          </cell>
        </row>
        <row r="30">
          <cell r="B30" t="str">
            <v>Direct Program Profitability, %</v>
          </cell>
          <cell r="C30">
            <v>0.41709669331089866</v>
          </cell>
          <cell r="D30">
            <v>0.27288359674596119</v>
          </cell>
          <cell r="E30">
            <v>7.2207087930034344E-2</v>
          </cell>
          <cell r="F30">
            <v>0.46758788613998009</v>
          </cell>
          <cell r="G30">
            <v>0.33079925299035595</v>
          </cell>
          <cell r="H30">
            <v>0.22545967170577172</v>
          </cell>
          <cell r="I30">
            <v>0.44558904303885649</v>
          </cell>
          <cell r="J30">
            <v>9.8775760120916614E-2</v>
          </cell>
          <cell r="K30">
            <v>0.25079986433397394</v>
          </cell>
          <cell r="L30">
            <v>0.57230562107760352</v>
          </cell>
          <cell r="M30">
            <v>0.43406603335035626</v>
          </cell>
          <cell r="N30">
            <v>0.45163890603458995</v>
          </cell>
          <cell r="O30">
            <v>0.36416793040319728</v>
          </cell>
          <cell r="P30">
            <v>0.27898240821282799</v>
          </cell>
          <cell r="Q30">
            <v>-1.3739651015151213</v>
          </cell>
          <cell r="R30">
            <v>0.58970630264607027</v>
          </cell>
          <cell r="S30">
            <v>0.37522223418363765</v>
          </cell>
          <cell r="T30">
            <v>0.42138404696955384</v>
          </cell>
          <cell r="U30">
            <v>0.57126331188825796</v>
          </cell>
          <cell r="V30">
            <v>-0.41852295526697891</v>
          </cell>
          <cell r="W30">
            <v>0.24721813095960871</v>
          </cell>
          <cell r="X30">
            <v>0.6082378496209544</v>
          </cell>
          <cell r="Y30">
            <v>0.33053769932557792</v>
          </cell>
          <cell r="Z30">
            <v>0.40168013279096976</v>
          </cell>
          <cell r="AA30">
            <v>0.58150673975197975</v>
          </cell>
          <cell r="AB30">
            <v>0.60504855233225985</v>
          </cell>
          <cell r="AC30">
            <v>0.5030522107440657</v>
          </cell>
          <cell r="AD30">
            <v>0.48797864665942109</v>
          </cell>
          <cell r="AE30">
            <v>1.9884800854344683E-2</v>
          </cell>
          <cell r="AF30">
            <v>0.34998055851537202</v>
          </cell>
        </row>
        <row r="31">
          <cell r="B31"/>
          <cell r="C31"/>
          <cell r="D31"/>
          <cell r="E31"/>
          <cell r="F31"/>
          <cell r="G31"/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>
            <v>3335281.0175004425</v>
          </cell>
          <cell r="W31"/>
          <cell r="X31"/>
          <cell r="Y31"/>
          <cell r="Z31"/>
          <cell r="AA31"/>
          <cell r="AB31"/>
          <cell r="AC31"/>
          <cell r="AD31"/>
          <cell r="AE31"/>
          <cell r="AF31"/>
        </row>
        <row r="32">
          <cell r="B32" t="str">
            <v>Total Indirect Costs</v>
          </cell>
          <cell r="C32">
            <v>811501.71220910002</v>
          </cell>
          <cell r="D32">
            <v>2330286.5372286919</v>
          </cell>
          <cell r="E32">
            <v>1182867.0484819983</v>
          </cell>
          <cell r="F32">
            <v>337707.92500960466</v>
          </cell>
          <cell r="G32">
            <v>1592840.9940286528</v>
          </cell>
          <cell r="H32">
            <v>1291907.1629616644</v>
          </cell>
          <cell r="I32">
            <v>1307540.7230944743</v>
          </cell>
          <cell r="J32">
            <v>520651.02355461207</v>
          </cell>
          <cell r="K32">
            <v>861748.32632250641</v>
          </cell>
          <cell r="L32">
            <v>2686616.4295219304</v>
          </cell>
          <cell r="M32">
            <v>579274.21869978169</v>
          </cell>
          <cell r="N32">
            <v>1976601.8597159781</v>
          </cell>
          <cell r="O32">
            <v>1472292.2109984308</v>
          </cell>
          <cell r="P32">
            <v>7917499.7285282956</v>
          </cell>
          <cell r="Q32">
            <v>1991542.6988601396</v>
          </cell>
          <cell r="R32">
            <v>1464132.0957595559</v>
          </cell>
          <cell r="S32">
            <v>3454982.3482818524</v>
          </cell>
          <cell r="T32">
            <v>843643.58884567569</v>
          </cell>
          <cell r="U32">
            <v>4925754.7564199846</v>
          </cell>
          <cell r="V32">
            <v>5643521.3783199489</v>
          </cell>
          <cell r="W32">
            <v>4841048.036346999</v>
          </cell>
          <cell r="X32">
            <v>2140631.0363418609</v>
          </cell>
          <cell r="Y32">
            <v>781567.30607413349</v>
          </cell>
          <cell r="Z32">
            <v>753169.99107020232</v>
          </cell>
          <cell r="AA32">
            <v>1854067.2852020757</v>
          </cell>
          <cell r="AB32">
            <v>1743059.5992776179</v>
          </cell>
          <cell r="AC32">
            <v>1159506.3529901118</v>
          </cell>
          <cell r="AD32">
            <v>800656.71260158601</v>
          </cell>
          <cell r="AE32">
            <v>914822.17389778839</v>
          </cell>
          <cell r="AF32">
            <v>58181441.260645255</v>
          </cell>
        </row>
        <row r="33">
          <cell r="B33" t="str">
            <v>Non-academic staff and management salaries</v>
          </cell>
          <cell r="C33">
            <v>344996.40060768387</v>
          </cell>
          <cell r="D33">
            <v>929183.55520138587</v>
          </cell>
          <cell r="E33">
            <v>472822.14529415651</v>
          </cell>
          <cell r="F33">
            <v>134746.89568466137</v>
          </cell>
          <cell r="G33">
            <v>636288.23414881143</v>
          </cell>
          <cell r="H33">
            <v>183324.68304119873</v>
          </cell>
          <cell r="I33">
            <v>521927.36269546842</v>
          </cell>
          <cell r="J33">
            <v>209943.93907200368</v>
          </cell>
          <cell r="K33">
            <v>366647.75669739337</v>
          </cell>
          <cell r="L33">
            <v>1072738.9565104658</v>
          </cell>
          <cell r="M33">
            <v>246457.4513833361</v>
          </cell>
          <cell r="N33">
            <v>788601.97610881028</v>
          </cell>
          <cell r="O33">
            <v>587931.33523280616</v>
          </cell>
          <cell r="P33">
            <v>3980561.4836531375</v>
          </cell>
          <cell r="Q33">
            <v>281356.25751712895</v>
          </cell>
          <cell r="R33">
            <v>583950.07098344807</v>
          </cell>
          <cell r="S33">
            <v>1468588.9446550405</v>
          </cell>
          <cell r="T33">
            <v>358767.53212667897</v>
          </cell>
          <cell r="U33">
            <v>1983233.3154513701</v>
          </cell>
          <cell r="V33">
            <v>2275984.9735240345</v>
          </cell>
          <cell r="W33">
            <v>688670.92201362131</v>
          </cell>
          <cell r="X33">
            <v>853505.43123044376</v>
          </cell>
          <cell r="Y33">
            <v>311761.46658741182</v>
          </cell>
          <cell r="Z33">
            <v>300474.36107447621</v>
          </cell>
          <cell r="AA33">
            <v>739602.46516844351</v>
          </cell>
          <cell r="AB33">
            <v>695480.14361787634</v>
          </cell>
          <cell r="AC33">
            <v>462870.21184468287</v>
          </cell>
          <cell r="AD33">
            <v>323112.61081589863</v>
          </cell>
          <cell r="AE33">
            <v>369133.76498624095</v>
          </cell>
          <cell r="AF33">
            <v>22172664.646928117</v>
          </cell>
        </row>
        <row r="34">
          <cell r="B34" t="str">
            <v>Old Non-academic staff and management salaries</v>
          </cell>
          <cell r="C34">
            <v>327463.07935864298</v>
          </cell>
          <cell r="D34">
            <v>881960.81970624649</v>
          </cell>
          <cell r="E34">
            <v>448792.49584708782</v>
          </cell>
          <cell r="F34">
            <v>127898.82247233595</v>
          </cell>
          <cell r="G34">
            <v>603950.95179842983</v>
          </cell>
          <cell r="H34">
            <v>174007.80160423819</v>
          </cell>
          <cell r="I34">
            <v>495402.1001052346</v>
          </cell>
          <cell r="J34">
            <v>199274.22042695494</v>
          </cell>
          <cell r="K34">
            <v>348014.07561523659</v>
          </cell>
          <cell r="L34">
            <v>1018220.4841213949</v>
          </cell>
          <cell r="M34">
            <v>233932.05209884379</v>
          </cell>
          <cell r="N34">
            <v>748523.8426546948</v>
          </cell>
          <cell r="O34">
            <v>558051.63516968396</v>
          </cell>
          <cell r="P34">
            <v>2963949.3781508328</v>
          </cell>
          <cell r="Q34">
            <v>267057.23978886742</v>
          </cell>
          <cell r="R34">
            <v>554272.70574161201</v>
          </cell>
          <cell r="S34">
            <v>1393952.6826416645</v>
          </cell>
          <cell r="T34">
            <v>340534.33785733982</v>
          </cell>
          <cell r="U34">
            <v>1882441.925250313</v>
          </cell>
          <cell r="V34">
            <v>2160315.4313824465</v>
          </cell>
          <cell r="W34">
            <v>653671.45973149489</v>
          </cell>
          <cell r="X34">
            <v>810128.79052577191</v>
          </cell>
          <cell r="Y34">
            <v>295917.20288749813</v>
          </cell>
          <cell r="Z34">
            <v>285203.72784311674</v>
          </cell>
          <cell r="AA34">
            <v>702014.57267003099</v>
          </cell>
          <cell r="AB34">
            <v>660134.62476926693</v>
          </cell>
          <cell r="AC34">
            <v>439346.33708370174</v>
          </cell>
          <cell r="AD34">
            <v>306691.46208775946</v>
          </cell>
          <cell r="AE34">
            <v>350373.74060925742</v>
          </cell>
          <cell r="AF34">
            <v>20231498</v>
          </cell>
        </row>
        <row r="35">
          <cell r="B35" t="str">
            <v>Non-academic staff and management benefits</v>
          </cell>
          <cell r="C35">
            <v>104961.28356497694</v>
          </cell>
          <cell r="D35">
            <v>275091.32882037677</v>
          </cell>
          <cell r="E35">
            <v>140142.05175762149</v>
          </cell>
          <cell r="F35">
            <v>39904.91949730456</v>
          </cell>
          <cell r="G35">
            <v>188536.26359809545</v>
          </cell>
          <cell r="H35">
            <v>64079.701659476894</v>
          </cell>
          <cell r="I35">
            <v>154596.58080354944</v>
          </cell>
          <cell r="J35">
            <v>97722.255337223382</v>
          </cell>
          <cell r="K35">
            <v>111586.09083091695</v>
          </cell>
          <cell r="L35">
            <v>317794.00790281995</v>
          </cell>
          <cell r="M35">
            <v>75006.408069617144</v>
          </cell>
          <cell r="N35">
            <v>233532.60556420265</v>
          </cell>
          <cell r="O35">
            <v>174180.17479369836</v>
          </cell>
          <cell r="P35">
            <v>1392485.2805108367</v>
          </cell>
          <cell r="Q35">
            <v>98347.838134967067</v>
          </cell>
          <cell r="R35">
            <v>172901.59224274647</v>
          </cell>
          <cell r="S35">
            <v>446770.66907802934</v>
          </cell>
          <cell r="T35">
            <v>109164.82700609602</v>
          </cell>
          <cell r="U35">
            <v>924071.98042954528</v>
          </cell>
          <cell r="V35">
            <v>1059296.0439764077</v>
          </cell>
          <cell r="W35">
            <v>240716.80000275065</v>
          </cell>
          <cell r="X35">
            <v>252678.80710661819</v>
          </cell>
          <cell r="Y35">
            <v>92315.326075638222</v>
          </cell>
          <cell r="Z35">
            <v>88978.65677957634</v>
          </cell>
          <cell r="AA35">
            <v>219006.756732045</v>
          </cell>
          <cell r="AB35">
            <v>205963.41312016666</v>
          </cell>
          <cell r="AC35">
            <v>137108.23070317341</v>
          </cell>
          <cell r="AD35">
            <v>150316.83050418686</v>
          </cell>
          <cell r="AE35">
            <v>171742.66947576977</v>
          </cell>
          <cell r="AF35">
            <v>7738999.3940784326</v>
          </cell>
        </row>
        <row r="36">
          <cell r="B36" t="str">
            <v>Old Non-academic staff and management benefits</v>
          </cell>
          <cell r="C36">
            <v>92397.707139796199</v>
          </cell>
          <cell r="D36">
            <v>242163.65476616431</v>
          </cell>
          <cell r="E36">
            <v>123367.43431929196</v>
          </cell>
          <cell r="F36">
            <v>35128.41059023972</v>
          </cell>
          <cell r="G36">
            <v>165968.9923512043</v>
          </cell>
          <cell r="H36">
            <v>56409.537940459159</v>
          </cell>
          <cell r="I36">
            <v>136091.79606742683</v>
          </cell>
          <cell r="J36">
            <v>86025.170643987978</v>
          </cell>
          <cell r="K36">
            <v>98229.54323045323</v>
          </cell>
          <cell r="L36">
            <v>279754.94082834094</v>
          </cell>
          <cell r="M36">
            <v>66028.347701504725</v>
          </cell>
          <cell r="N36">
            <v>205579.39616998698</v>
          </cell>
          <cell r="O36">
            <v>153331.28781893806</v>
          </cell>
          <cell r="P36">
            <v>961789.57767469692</v>
          </cell>
          <cell r="Q36">
            <v>86575.872904615651</v>
          </cell>
          <cell r="R36">
            <v>152205.74807624074</v>
          </cell>
          <cell r="S36">
            <v>393293.45105204964</v>
          </cell>
          <cell r="T36">
            <v>96098.098013746319</v>
          </cell>
          <cell r="U36">
            <v>813463.11062368308</v>
          </cell>
          <cell r="V36">
            <v>932501.2263696806</v>
          </cell>
          <cell r="W36">
            <v>211903.66233006475</v>
          </cell>
          <cell r="X36">
            <v>222433.85014453725</v>
          </cell>
          <cell r="Y36">
            <v>81265.435916389426</v>
          </cell>
          <cell r="Z36">
            <v>78328.156740977851</v>
          </cell>
          <cell r="AA36">
            <v>192792.25141751466</v>
          </cell>
          <cell r="AB36">
            <v>181310.16009545117</v>
          </cell>
          <cell r="AC36">
            <v>120696.75328546192</v>
          </cell>
          <cell r="AD36">
            <v>132324.32008617933</v>
          </cell>
          <cell r="AE36">
            <v>151185.54517109555</v>
          </cell>
          <cell r="AF36">
            <v>6548643.4394701794</v>
          </cell>
        </row>
        <row r="37">
          <cell r="B37" t="str">
            <v>Operating expenses</v>
          </cell>
          <cell r="C37">
            <v>247848.74350046369</v>
          </cell>
          <cell r="D37">
            <v>763960.71167038288</v>
          </cell>
          <cell r="E37">
            <v>386861.5068226569</v>
          </cell>
          <cell r="F37">
            <v>110643.3900060897</v>
          </cell>
          <cell r="G37">
            <v>521273.5383526074</v>
          </cell>
          <cell r="H37">
            <v>970318.62097510416</v>
          </cell>
          <cell r="I37">
            <v>428219.87136284757</v>
          </cell>
          <cell r="J37">
            <v>133962.57464520348</v>
          </cell>
          <cell r="K37">
            <v>262965.2232046334</v>
          </cell>
          <cell r="L37">
            <v>879603.9299112591</v>
          </cell>
          <cell r="M37">
            <v>176772.23090735657</v>
          </cell>
          <cell r="N37">
            <v>647651.27970297472</v>
          </cell>
          <cell r="O37">
            <v>481983.78236425918</v>
          </cell>
          <cell r="P37">
            <v>1636503.3871479491</v>
          </cell>
          <cell r="Q37">
            <v>1497336.969136352</v>
          </cell>
          <cell r="R37">
            <v>479889.86346141039</v>
          </cell>
          <cell r="S37">
            <v>1055409.8383512413</v>
          </cell>
          <cell r="T37">
            <v>257581.0227304865</v>
          </cell>
          <cell r="U37">
            <v>1268947.5670909188</v>
          </cell>
          <cell r="V37">
            <v>1451897.1538889683</v>
          </cell>
          <cell r="W37">
            <v>3633872.8992764172</v>
          </cell>
          <cell r="X37">
            <v>701827.61452189169</v>
          </cell>
          <cell r="Y37">
            <v>256134.90828580459</v>
          </cell>
          <cell r="Z37">
            <v>246796.29053730966</v>
          </cell>
          <cell r="AA37">
            <v>607591.27905092598</v>
          </cell>
          <cell r="AB37">
            <v>571085.77330681041</v>
          </cell>
          <cell r="AC37">
            <v>379711.96397755673</v>
          </cell>
          <cell r="AD37">
            <v>205871.66615622171</v>
          </cell>
          <cell r="AE37">
            <v>235253.61929260177</v>
          </cell>
          <cell r="AF37">
            <v>20497777.219638705</v>
          </cell>
        </row>
        <row r="38">
          <cell r="B38" t="str">
            <v>Old Operating Expenses</v>
          </cell>
          <cell r="C38">
            <v>229657.3333500108</v>
          </cell>
          <cell r="D38">
            <v>707888.11493840953</v>
          </cell>
          <cell r="E38">
            <v>358466.94551627687</v>
          </cell>
          <cell r="F38">
            <v>102522.47214461371</v>
          </cell>
          <cell r="G38">
            <v>483013.50683974894</v>
          </cell>
          <cell r="H38">
            <v>899099.92621199379</v>
          </cell>
          <cell r="I38">
            <v>396789.72084235016</v>
          </cell>
          <cell r="J38">
            <v>124130.09332710877</v>
          </cell>
          <cell r="K38">
            <v>243664.30538250238</v>
          </cell>
          <cell r="L38">
            <v>815043.44179671677</v>
          </cell>
          <cell r="M38">
            <v>163797.63958916307</v>
          </cell>
          <cell r="N38">
            <v>600115.47259277874</v>
          </cell>
          <cell r="O38">
            <v>446607.50993688474</v>
          </cell>
          <cell r="P38">
            <v>1516388.5787863806</v>
          </cell>
          <cell r="Q38">
            <v>1387436.589758619</v>
          </cell>
          <cell r="R38">
            <v>444667.27887221309</v>
          </cell>
          <cell r="S38">
            <v>977945.68430668116</v>
          </cell>
          <cell r="T38">
            <v>238675.29028542916</v>
          </cell>
          <cell r="U38">
            <v>1175810.336188124</v>
          </cell>
          <cell r="V38">
            <v>1345331.9308838332</v>
          </cell>
          <cell r="W38">
            <v>3367156.7101534773</v>
          </cell>
          <cell r="X38">
            <v>650315.41474082728</v>
          </cell>
          <cell r="Y38">
            <v>237335.31662893994</v>
          </cell>
          <cell r="Z38">
            <v>228682.1275144653</v>
          </cell>
          <cell r="AA38">
            <v>562995.76484759094</v>
          </cell>
          <cell r="AB38">
            <v>529169.66194555466</v>
          </cell>
          <cell r="AC38">
            <v>351842.15928057709</v>
          </cell>
          <cell r="AD38">
            <v>190761.25702316943</v>
          </cell>
          <cell r="AE38">
            <v>217986.6563155544</v>
          </cell>
          <cell r="AF38">
            <v>18993297.239999995</v>
          </cell>
        </row>
        <row r="39">
          <cell r="B39" t="str">
            <v>Endowment Draw/Debt Service</v>
          </cell>
          <cell r="C39">
            <v>113695.28453597552</v>
          </cell>
          <cell r="D39">
            <v>362050.94153654616</v>
          </cell>
          <cell r="E39">
            <v>183041.34460756343</v>
          </cell>
          <cell r="F39">
            <v>52412.719821548992</v>
          </cell>
          <cell r="G39">
            <v>246742.95792913836</v>
          </cell>
          <cell r="H39">
            <v>74184.157285884736</v>
          </cell>
          <cell r="I39">
            <v>202796.90823260881</v>
          </cell>
          <cell r="J39">
            <v>79022.25450018156</v>
          </cell>
          <cell r="K39">
            <v>120549.25558956269</v>
          </cell>
          <cell r="L39">
            <v>416479.53519738547</v>
          </cell>
          <cell r="M39">
            <v>81038.128339471907</v>
          </cell>
          <cell r="N39">
            <v>306815.99833999062</v>
          </cell>
          <cell r="O39">
            <v>228196.91860766718</v>
          </cell>
          <cell r="P39">
            <v>907949.57721637178</v>
          </cell>
          <cell r="Q39">
            <v>114501.63407169166</v>
          </cell>
          <cell r="R39">
            <v>227390.56907195103</v>
          </cell>
          <cell r="S39">
            <v>484212.89619754109</v>
          </cell>
          <cell r="T39">
            <v>118130.20698241427</v>
          </cell>
          <cell r="U39">
            <v>749501.8934481506</v>
          </cell>
          <cell r="V39">
            <v>856343.20693053899</v>
          </cell>
          <cell r="W39">
            <v>277787.4150542097</v>
          </cell>
          <cell r="X39">
            <v>332619.18348290707</v>
          </cell>
          <cell r="Y39">
            <v>121355.60512527883</v>
          </cell>
          <cell r="Z39">
            <v>116920.68267884006</v>
          </cell>
          <cell r="AA39">
            <v>287866.78425066138</v>
          </cell>
          <cell r="AB39">
            <v>270530.26923276443</v>
          </cell>
          <cell r="AC39">
            <v>179815.94646469885</v>
          </cell>
          <cell r="AD39">
            <v>121355.60512527883</v>
          </cell>
          <cell r="AE39">
            <v>138692.12014317582</v>
          </cell>
          <cell r="AF39">
            <v>7772000</v>
          </cell>
        </row>
        <row r="40"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</row>
        <row r="41">
          <cell r="B41" t="str">
            <v>Non-tuition revenues</v>
          </cell>
          <cell r="C41">
            <v>267538.34267093957</v>
          </cell>
          <cell r="D41">
            <v>831834.78686073597</v>
          </cell>
          <cell r="E41">
            <v>381732.18283085286</v>
          </cell>
          <cell r="F41">
            <v>117468.13395392346</v>
          </cell>
          <cell r="G41">
            <v>528351.6019446291</v>
          </cell>
          <cell r="H41">
            <v>40184.465266612337</v>
          </cell>
          <cell r="I41">
            <v>447393.30937151687</v>
          </cell>
          <cell r="J41">
            <v>168785.6518309552</v>
          </cell>
          <cell r="K41">
            <v>272825.59954310255</v>
          </cell>
          <cell r="L41">
            <v>907776.07514040009</v>
          </cell>
          <cell r="M41">
            <v>183634.73970477856</v>
          </cell>
          <cell r="N41">
            <v>689997.53996053478</v>
          </cell>
          <cell r="O41">
            <v>495385.91238493944</v>
          </cell>
          <cell r="P41">
            <v>607470.10556185897</v>
          </cell>
          <cell r="Q41">
            <v>82359.712552674129</v>
          </cell>
          <cell r="R41">
            <v>517810.93049273209</v>
          </cell>
          <cell r="S41">
            <v>1148352.6827479817</v>
          </cell>
          <cell r="T41">
            <v>273989.04555521609</v>
          </cell>
          <cell r="U41">
            <v>1702732.9080563663</v>
          </cell>
          <cell r="V41">
            <v>1817933.2114242739</v>
          </cell>
          <cell r="W41">
            <v>122540.0094247713</v>
          </cell>
          <cell r="X41">
            <v>766031.40135487425</v>
          </cell>
          <cell r="Y41">
            <v>274897.29344350158</v>
          </cell>
          <cell r="Z41">
            <v>263502.97699130682</v>
          </cell>
          <cell r="AA41">
            <v>651126.17515986075</v>
          </cell>
          <cell r="AB41">
            <v>606584.75630128151</v>
          </cell>
          <cell r="AC41">
            <v>395580.99036918883</v>
          </cell>
          <cell r="AD41">
            <v>250333.85716513934</v>
          </cell>
          <cell r="AE41">
            <v>287845.60190360149</v>
          </cell>
          <cell r="AF41">
            <v>15101999.999968549</v>
          </cell>
        </row>
        <row r="42">
          <cell r="B42" t="str">
            <v>Old Non-tuition revenues</v>
          </cell>
          <cell r="C42">
            <v>259182.71386581252</v>
          </cell>
          <cell r="D42">
            <v>805855.32299469458</v>
          </cell>
          <cell r="E42">
            <v>369810.10694871069</v>
          </cell>
          <cell r="F42">
            <v>113799.42570840237</v>
          </cell>
          <cell r="G42">
            <v>511850.37890358834</v>
          </cell>
          <cell r="H42">
            <v>38929.4433802231</v>
          </cell>
          <cell r="I42">
            <v>433420.53677494125</v>
          </cell>
          <cell r="J42">
            <v>163514.21955604764</v>
          </cell>
          <cell r="K42">
            <v>264304.84167505277</v>
          </cell>
          <cell r="L42">
            <v>879424.84949429682</v>
          </cell>
          <cell r="M42">
            <v>177899.54786131828</v>
          </cell>
          <cell r="N42">
            <v>668447.86875152914</v>
          </cell>
          <cell r="O42">
            <v>479914.25790037517</v>
          </cell>
          <cell r="P42">
            <v>588497.89147989755</v>
          </cell>
          <cell r="Q42">
            <v>79787.49363363297</v>
          </cell>
          <cell r="R42">
            <v>501638.90863134124</v>
          </cell>
          <cell r="S42">
            <v>1112487.8842349118</v>
          </cell>
          <cell r="T42">
            <v>265431.95150105195</v>
          </cell>
          <cell r="U42">
            <v>1649553.9730597755</v>
          </cell>
          <cell r="V42">
            <v>1761156.3959759672</v>
          </cell>
          <cell r="W42">
            <v>118712.89880463298</v>
          </cell>
          <cell r="X42">
            <v>742107.07716682635</v>
          </cell>
          <cell r="Y42">
            <v>266311.83342825016</v>
          </cell>
          <cell r="Z42">
            <v>255273.37878566448</v>
          </cell>
          <cell r="AA42">
            <v>630790.51571522711</v>
          </cell>
          <cell r="AB42">
            <v>587640.19302148325</v>
          </cell>
          <cell r="AC42">
            <v>383226.39519269526</v>
          </cell>
          <cell r="AD42">
            <v>242515.55057422092</v>
          </cell>
          <cell r="AE42">
            <v>278855.74654797843</v>
          </cell>
          <cell r="AF42">
            <v>14630341.60156855</v>
          </cell>
        </row>
        <row r="43"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</row>
        <row r="44">
          <cell r="B44" t="str">
            <v>Overall Program Profitability, $</v>
          </cell>
          <cell r="C44">
            <v>-126598.17424374848</v>
          </cell>
          <cell r="D44">
            <v>-1010356.6063078147</v>
          </cell>
          <cell r="E44">
            <v>-729824.83216768666</v>
          </cell>
          <cell r="F44">
            <v>-43480.204770050987</v>
          </cell>
          <cell r="G44">
            <v>-492889.55786857521</v>
          </cell>
          <cell r="H44">
            <v>-1078224.9510956975</v>
          </cell>
          <cell r="I44">
            <v>-129162.2092744087</v>
          </cell>
          <cell r="J44">
            <v>-312448.04810131702</v>
          </cell>
          <cell r="K44">
            <v>-315752.74905218522</v>
          </cell>
          <cell r="L44">
            <v>-2558.8107446881477</v>
          </cell>
          <cell r="M44">
            <v>-31523.883288272569</v>
          </cell>
          <cell r="N44">
            <v>-364250.51863471884</v>
          </cell>
          <cell r="O44">
            <v>-417230.51700656948</v>
          </cell>
          <cell r="P44">
            <v>-3897066.4492185963</v>
          </cell>
          <cell r="Q44">
            <v>-2396821.0386093357</v>
          </cell>
          <cell r="R44">
            <v>179969.72259833862</v>
          </cell>
          <cell r="S44">
            <v>-1242172.8462386795</v>
          </cell>
          <cell r="T44">
            <v>-81673.008519143506</v>
          </cell>
          <cell r="U44">
            <v>-1181525.0142753916</v>
          </cell>
          <cell r="V44">
            <v>-4922729.5351576805</v>
          </cell>
          <cell r="W44">
            <v>-3863826.8082246333</v>
          </cell>
          <cell r="X44">
            <v>260676.34240608639</v>
          </cell>
          <cell r="Y44">
            <v>-292516.37647577911</v>
          </cell>
          <cell r="Z44">
            <v>-106574.874712024</v>
          </cell>
          <cell r="AA44">
            <v>59523.642083011451</v>
          </cell>
          <cell r="AB44">
            <v>191137.1269879716</v>
          </cell>
          <cell r="AC44">
            <v>-82160.568530604942</v>
          </cell>
          <cell r="AD44">
            <v>-73842.587049340189</v>
          </cell>
          <cell r="AE44">
            <v>-615096.66450847336</v>
          </cell>
          <cell r="AF44">
            <v>-23119000.000000004</v>
          </cell>
        </row>
        <row r="45"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</row>
        <row r="46">
          <cell r="B46" t="str">
            <v>Indirect Cost - Even Split</v>
          </cell>
          <cell r="C46">
            <v>2006256.5951946641</v>
          </cell>
          <cell r="D46">
            <v>2006256.5951946641</v>
          </cell>
          <cell r="E46">
            <v>2006256.5951946641</v>
          </cell>
          <cell r="F46">
            <v>2006256.5951946641</v>
          </cell>
          <cell r="G46">
            <v>2006256.5951946641</v>
          </cell>
          <cell r="H46">
            <v>2006256.5951946641</v>
          </cell>
          <cell r="I46">
            <v>2006256.5951946641</v>
          </cell>
          <cell r="J46">
            <v>2006256.5951946641</v>
          </cell>
          <cell r="K46">
            <v>2006256.5951946641</v>
          </cell>
          <cell r="L46">
            <v>2006256.5951946641</v>
          </cell>
          <cell r="M46">
            <v>2006256.5951946641</v>
          </cell>
          <cell r="N46">
            <v>2006256.5951946641</v>
          </cell>
          <cell r="O46">
            <v>2006256.5951946641</v>
          </cell>
          <cell r="P46">
            <v>2006256.5951946641</v>
          </cell>
          <cell r="Q46">
            <v>2006256.5951946641</v>
          </cell>
          <cell r="R46">
            <v>2006256.5951946641</v>
          </cell>
          <cell r="S46">
            <v>2006256.5951946641</v>
          </cell>
          <cell r="T46">
            <v>2006256.5951946641</v>
          </cell>
          <cell r="U46">
            <v>2006256.5951946641</v>
          </cell>
          <cell r="V46">
            <v>2006256.5951946641</v>
          </cell>
          <cell r="W46">
            <v>2006256.5951946641</v>
          </cell>
          <cell r="X46">
            <v>2006256.5951946641</v>
          </cell>
          <cell r="Y46">
            <v>2006256.5951946641</v>
          </cell>
          <cell r="Z46">
            <v>2006256.5951946641</v>
          </cell>
          <cell r="AA46">
            <v>2006256.5951946641</v>
          </cell>
          <cell r="AB46">
            <v>2006256.5951946641</v>
          </cell>
          <cell r="AC46">
            <v>2006256.5951946641</v>
          </cell>
          <cell r="AD46">
            <v>2006256.5951946641</v>
          </cell>
          <cell r="AE46">
            <v>2006256.5951946641</v>
          </cell>
          <cell r="AF46">
            <v>58181441.2606453</v>
          </cell>
        </row>
        <row r="47">
          <cell r="B47"/>
          <cell r="C47"/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</row>
        <row r="48">
          <cell r="B48" t="str">
            <v>Overall Program Profitability after even indirect split</v>
          </cell>
          <cell r="C48">
            <v>-1321353.0572293124</v>
          </cell>
          <cell r="D48">
            <v>-686326.66427378694</v>
          </cell>
          <cell r="E48">
            <v>-1553214.3788803525</v>
          </cell>
          <cell r="F48">
            <v>-1712028.8749551105</v>
          </cell>
          <cell r="G48">
            <v>-906305.15903458651</v>
          </cell>
          <cell r="H48">
            <v>-1792574.3833286972</v>
          </cell>
          <cell r="I48">
            <v>-827878.08137459843</v>
          </cell>
          <cell r="J48">
            <v>-1798053.619741369</v>
          </cell>
          <cell r="K48">
            <v>-1460261.0179243428</v>
          </cell>
          <cell r="L48">
            <v>677801.02358257817</v>
          </cell>
          <cell r="M48">
            <v>-1458506.2597831548</v>
          </cell>
          <cell r="N48">
            <v>-393905.25411340478</v>
          </cell>
          <cell r="O48">
            <v>-951194.90120280278</v>
          </cell>
          <cell r="P48">
            <v>2014176.6841150357</v>
          </cell>
          <cell r="Q48">
            <v>-2411534.9349438604</v>
          </cell>
          <cell r="R48">
            <v>-362154.77683676954</v>
          </cell>
          <cell r="S48">
            <v>206552.90684850886</v>
          </cell>
          <cell r="T48">
            <v>-1244286.0148681321</v>
          </cell>
          <cell r="U48">
            <v>1737973.1469499287</v>
          </cell>
          <cell r="V48">
            <v>-1285464.752032395</v>
          </cell>
          <cell r="W48">
            <v>-1029035.3670722981</v>
          </cell>
          <cell r="X48">
            <v>395050.7835532832</v>
          </cell>
          <cell r="Y48">
            <v>-1517205.6655963096</v>
          </cell>
          <cell r="Z48">
            <v>-1359661.4788364859</v>
          </cell>
          <cell r="AA48">
            <v>-92665.667909576907</v>
          </cell>
          <cell r="AB48">
            <v>-72059.868929074612</v>
          </cell>
          <cell r="AC48">
            <v>-928910.81073515723</v>
          </cell>
          <cell r="AD48">
            <v>-1279442.4696424182</v>
          </cell>
          <cell r="AE48">
            <v>-1706531.0858053491</v>
          </cell>
          <cell r="AF48">
            <v>-23119000.000000011</v>
          </cell>
        </row>
        <row r="49"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</row>
        <row r="50">
          <cell r="B50" t="str">
            <v>6 account spend</v>
          </cell>
          <cell r="C50">
            <v>254783.54328939447</v>
          </cell>
          <cell r="D50">
            <v>1062859.3438534886</v>
          </cell>
          <cell r="E50">
            <v>404503.80261635181</v>
          </cell>
          <cell r="F50">
            <v>105107.61792979235</v>
          </cell>
          <cell r="G50">
            <v>755170.23440794554</v>
          </cell>
          <cell r="H50">
            <v>183466.28265523838</v>
          </cell>
          <cell r="I50">
            <v>407116.77937450435</v>
          </cell>
          <cell r="J50">
            <v>157921.61961464357</v>
          </cell>
          <cell r="K50">
            <v>270142.83490613103</v>
          </cell>
          <cell r="L50">
            <v>1077230.3324728888</v>
          </cell>
          <cell r="M50">
            <v>181601.03617435566</v>
          </cell>
          <cell r="N50">
            <v>671843.53495824605</v>
          </cell>
          <cell r="O50">
            <v>553532.11806355743</v>
          </cell>
          <cell r="P50">
            <v>5523112.9007770922</v>
          </cell>
          <cell r="Q50">
            <v>538470.22888091137</v>
          </cell>
          <cell r="R50">
            <v>459570.05778771453</v>
          </cell>
          <cell r="S50">
            <v>1085088.7783353289</v>
          </cell>
          <cell r="T50">
            <v>264721.90845316515</v>
          </cell>
          <cell r="U50">
            <v>1497838.2186919511</v>
          </cell>
          <cell r="V50">
            <v>1711354.6941913418</v>
          </cell>
          <cell r="W50">
            <v>977936.49059488717</v>
          </cell>
          <cell r="X50">
            <v>674057.23378522077</v>
          </cell>
          <cell r="Y50">
            <v>389053.01151436532</v>
          </cell>
          <cell r="Z50">
            <v>235757.65999722912</v>
          </cell>
          <cell r="AA50">
            <v>577283.37847593648</v>
          </cell>
          <cell r="AB50">
            <v>741223.10254531284</v>
          </cell>
          <cell r="AC50">
            <v>648615.93151297991</v>
          </cell>
          <cell r="AD50">
            <v>242522.48726534549</v>
          </cell>
          <cell r="AE50">
            <v>277168.55687468057</v>
          </cell>
          <cell r="AF50"/>
        </row>
        <row r="51">
          <cell r="B51" t="str">
            <v>LessRestricted</v>
          </cell>
          <cell r="C51">
            <v>132417.8186562818</v>
          </cell>
          <cell r="D51">
            <v>522804.71583888016</v>
          </cell>
          <cell r="E51">
            <v>239560.94493413321</v>
          </cell>
          <cell r="F51">
            <v>61462.492382020515</v>
          </cell>
          <cell r="G51">
            <v>457894.75259843504</v>
          </cell>
          <cell r="H51">
            <v>92423.39539203397</v>
          </cell>
          <cell r="I51">
            <v>238243.71667812555</v>
          </cell>
          <cell r="J51">
            <v>86209.249165077083</v>
          </cell>
          <cell r="K51">
            <v>140400.45311428461</v>
          </cell>
          <cell r="L51">
            <v>627901.46023559384</v>
          </cell>
          <cell r="M51">
            <v>94382.913297562569</v>
          </cell>
          <cell r="N51">
            <v>416351.68463628931</v>
          </cell>
          <cell r="O51">
            <v>343511.67606325855</v>
          </cell>
          <cell r="P51">
            <v>2221006.0875737928</v>
          </cell>
          <cell r="Q51">
            <v>151021.86158335677</v>
          </cell>
          <cell r="R51">
            <v>267343.12925738131</v>
          </cell>
          <cell r="S51">
            <v>563949.64612125687</v>
          </cell>
          <cell r="T51">
            <v>137583.05271734242</v>
          </cell>
          <cell r="U51">
            <v>817668.33774427697</v>
          </cell>
          <cell r="V51">
            <v>934226.76136032515</v>
          </cell>
          <cell r="W51">
            <v>547394.73165821412</v>
          </cell>
          <cell r="X51">
            <v>390050.432424361</v>
          </cell>
          <cell r="Y51">
            <v>159030.3592845244</v>
          </cell>
          <cell r="Z51">
            <v>138395.45685219963</v>
          </cell>
          <cell r="AA51">
            <v>337570.91969817423</v>
          </cell>
          <cell r="AB51">
            <v>377582.49837181356</v>
          </cell>
          <cell r="AC51">
            <v>498879.5777106242</v>
          </cell>
          <cell r="AD51">
            <v>132392.77550351122</v>
          </cell>
          <cell r="AE51">
            <v>151306.02914686999</v>
          </cell>
          <cell r="AF51"/>
        </row>
        <row r="52">
          <cell r="B52" t="str">
            <v>HighRestricted</v>
          </cell>
          <cell r="C52">
            <v>122365.72463311267</v>
          </cell>
          <cell r="D52">
            <v>540054.62801460852</v>
          </cell>
          <cell r="E52">
            <v>164942.8576822186</v>
          </cell>
          <cell r="F52">
            <v>43645.125547771844</v>
          </cell>
          <cell r="G52">
            <v>297275.48180951056</v>
          </cell>
          <cell r="H52">
            <v>91042.887263204408</v>
          </cell>
          <cell r="I52">
            <v>168873.06269637877</v>
          </cell>
          <cell r="J52">
            <v>71712.370449566501</v>
          </cell>
          <cell r="K52">
            <v>129742.38179184642</v>
          </cell>
          <cell r="L52">
            <v>449328.8722372948</v>
          </cell>
          <cell r="M52">
            <v>87218.122876793073</v>
          </cell>
          <cell r="N52">
            <v>255491.85032195671</v>
          </cell>
          <cell r="O52">
            <v>210020.44200029894</v>
          </cell>
          <cell r="P52">
            <v>3302106.8132032994</v>
          </cell>
          <cell r="Q52">
            <v>387448.36729755462</v>
          </cell>
          <cell r="R52">
            <v>192226.92853033321</v>
          </cell>
          <cell r="S52">
            <v>521139.13221407204</v>
          </cell>
          <cell r="T52">
            <v>127138.85573582273</v>
          </cell>
          <cell r="U52">
            <v>680169.88094767416</v>
          </cell>
          <cell r="V52">
            <v>777127.9328310166</v>
          </cell>
          <cell r="W52">
            <v>430541.75893667305</v>
          </cell>
          <cell r="X52">
            <v>284006.80136085977</v>
          </cell>
          <cell r="Y52">
            <v>230022.65222984095</v>
          </cell>
          <cell r="Z52">
            <v>97362.203145029489</v>
          </cell>
          <cell r="AA52">
            <v>239712.45877776225</v>
          </cell>
          <cell r="AB52">
            <v>363640.60417349928</v>
          </cell>
          <cell r="AC52">
            <v>149736.3538023557</v>
          </cell>
          <cell r="AD52">
            <v>110129.71176183427</v>
          </cell>
          <cell r="AE52">
            <v>125862.52772781059</v>
          </cell>
          <cell r="AF52"/>
        </row>
        <row r="53">
          <cell r="B53"/>
          <cell r="C53"/>
          <cell r="D53"/>
          <cell r="E53"/>
          <cell r="F53"/>
          <cell r="G53"/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</row>
        <row r="54">
          <cell r="B54" t="str">
            <v>Profitabilty after 6 accounts</v>
          </cell>
          <cell r="C54">
            <v>-381381.71753314295</v>
          </cell>
          <cell r="D54">
            <v>-2073215.9501613034</v>
          </cell>
          <cell r="E54">
            <v>-1134328.6347840384</v>
          </cell>
          <cell r="F54">
            <v>-148587.82269984332</v>
          </cell>
          <cell r="G54">
            <v>-1248059.7922765207</v>
          </cell>
          <cell r="H54">
            <v>-1261691.2337509359</v>
          </cell>
          <cell r="I54">
            <v>-536278.9886489131</v>
          </cell>
          <cell r="J54">
            <v>-470369.66771596059</v>
          </cell>
          <cell r="K54">
            <v>-585895.58395831625</v>
          </cell>
          <cell r="L54">
            <v>-1079789.1432175769</v>
          </cell>
          <cell r="M54">
            <v>-213124.91946262823</v>
          </cell>
          <cell r="N54">
            <v>-1036094.0535929649</v>
          </cell>
          <cell r="O54">
            <v>-970762.63507012697</v>
          </cell>
          <cell r="P54">
            <v>-9420179.3499956876</v>
          </cell>
          <cell r="Q54">
            <v>-2935291.2674902473</v>
          </cell>
          <cell r="R54">
            <v>-279600.33518937591</v>
          </cell>
          <cell r="S54">
            <v>-2327261.6245740084</v>
          </cell>
          <cell r="T54">
            <v>-346394.91697230865</v>
          </cell>
          <cell r="U54">
            <v>-2679363.2329673427</v>
          </cell>
          <cell r="V54">
            <v>-6634084.2293490227</v>
          </cell>
          <cell r="W54">
            <v>-4841763.2988195205</v>
          </cell>
          <cell r="X54">
            <v>-413380.89137913438</v>
          </cell>
          <cell r="Y54">
            <v>-681569.38799014443</v>
          </cell>
          <cell r="Z54">
            <v>-342332.53470925312</v>
          </cell>
          <cell r="AA54">
            <v>-517759.73639292503</v>
          </cell>
          <cell r="AB54">
            <v>-550085.97555734124</v>
          </cell>
          <cell r="AC54">
            <v>-730776.50004358485</v>
          </cell>
          <cell r="AD54">
            <v>-316365.07431468565</v>
          </cell>
          <cell r="AE54">
            <v>-892265.22138315393</v>
          </cell>
          <cell r="AF54">
            <v>-45048053.720000006</v>
          </cell>
        </row>
        <row r="55"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</row>
        <row r="56">
          <cell r="B56" t="str">
            <v>Old analysis on key drivers and revenues generated by majors</v>
          </cell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</row>
        <row r="57">
          <cell r="B57" t="str">
            <v>Key Drivers</v>
          </cell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</row>
        <row r="58">
          <cell r="B58" t="str">
            <v>Total enrollment by program (Duplicated headcount)</v>
          </cell>
          <cell r="C58">
            <v>282</v>
          </cell>
          <cell r="D58">
            <v>898</v>
          </cell>
          <cell r="E58">
            <v>454</v>
          </cell>
          <cell r="F58">
            <v>130</v>
          </cell>
          <cell r="G58">
            <v>612</v>
          </cell>
          <cell r="H58">
            <v>184</v>
          </cell>
          <cell r="I58">
            <v>503</v>
          </cell>
          <cell r="J58">
            <v>196</v>
          </cell>
          <cell r="K58">
            <v>299</v>
          </cell>
          <cell r="L58">
            <v>1033</v>
          </cell>
          <cell r="M58">
            <v>201</v>
          </cell>
          <cell r="N58">
            <v>761</v>
          </cell>
          <cell r="O58">
            <v>566</v>
          </cell>
          <cell r="P58">
            <v>2252</v>
          </cell>
          <cell r="Q58">
            <v>284</v>
          </cell>
          <cell r="R58">
            <v>564</v>
          </cell>
          <cell r="S58">
            <v>1201</v>
          </cell>
          <cell r="T58">
            <v>293</v>
          </cell>
          <cell r="U58">
            <v>1859</v>
          </cell>
          <cell r="V58">
            <v>2124</v>
          </cell>
          <cell r="W58">
            <v>689</v>
          </cell>
          <cell r="X58">
            <v>825</v>
          </cell>
          <cell r="Y58">
            <v>301</v>
          </cell>
          <cell r="Z58">
            <v>290</v>
          </cell>
          <cell r="AA58">
            <v>714</v>
          </cell>
          <cell r="AB58">
            <v>671</v>
          </cell>
          <cell r="AC58">
            <v>446</v>
          </cell>
          <cell r="AD58">
            <v>301</v>
          </cell>
          <cell r="AE58">
            <v>344</v>
          </cell>
          <cell r="AF58">
            <v>19277</v>
          </cell>
        </row>
        <row r="59">
          <cell r="B59" t="str">
            <v>Net tuition revenue by program by student (Duplicated headcount)</v>
          </cell>
          <cell r="C59">
            <v>3548.3820580822548</v>
          </cell>
          <cell r="D59">
            <v>1991.8228931627407</v>
          </cell>
          <cell r="E59">
            <v>2175.278948872779</v>
          </cell>
          <cell r="F59">
            <v>2907.8792791202322</v>
          </cell>
          <cell r="G59">
            <v>2823.4243238814515</v>
          </cell>
          <cell r="H59">
            <v>4182.2226065182313</v>
          </cell>
          <cell r="I59">
            <v>3261.4152573529796</v>
          </cell>
          <cell r="J59">
            <v>2036.0136307262235</v>
          </cell>
          <cell r="K59">
            <v>3642.7929020977213</v>
          </cell>
          <cell r="L59">
            <v>3004.5779125235645</v>
          </cell>
          <cell r="M59">
            <v>4173.3751030185604</v>
          </cell>
          <cell r="N59">
            <v>2683.6232038380085</v>
          </cell>
          <cell r="O59">
            <v>2715.3035364079892</v>
          </cell>
          <cell r="P59">
            <v>5432.333162854281</v>
          </cell>
          <cell r="Q59">
            <v>1249.6936010497525</v>
          </cell>
          <cell r="R59">
            <v>3386.3800511793661</v>
          </cell>
          <cell r="S59">
            <v>2362.0901909202257</v>
          </cell>
          <cell r="T59">
            <v>3952.3707671375973</v>
          </cell>
          <cell r="U59">
            <v>1922.3523265670933</v>
          </cell>
          <cell r="V59">
            <v>1234.2092442269281</v>
          </cell>
          <cell r="W59">
            <v>5017.6991679210369</v>
          </cell>
          <cell r="X59">
            <v>3258.8447119916032</v>
          </cell>
          <cell r="Y59">
            <v>2152.4742131390462</v>
          </cell>
          <cell r="Z59">
            <v>3288.7047909202465</v>
          </cell>
          <cell r="AA59">
            <v>3040.6490505955553</v>
          </cell>
          <cell r="AB59">
            <v>3270.0802682031413</v>
          </cell>
          <cell r="AC59">
            <v>3038.6917737451076</v>
          </cell>
          <cell r="AD59">
            <v>3243.975808595038</v>
          </cell>
          <cell r="AE59">
            <v>1736.7342543189345</v>
          </cell>
          <cell r="AF59">
            <v>2958.6035270564021</v>
          </cell>
        </row>
        <row r="60">
          <cell r="B60" t="str">
            <v>Actual number of SCCH</v>
          </cell>
          <cell r="C60">
            <v>846</v>
          </cell>
          <cell r="D60">
            <v>1832</v>
          </cell>
          <cell r="E60">
            <v>913</v>
          </cell>
          <cell r="F60">
            <v>390</v>
          </cell>
          <cell r="G60">
            <v>1487</v>
          </cell>
          <cell r="H60">
            <v>482</v>
          </cell>
          <cell r="I60">
            <v>1234.5</v>
          </cell>
          <cell r="J60">
            <v>435</v>
          </cell>
          <cell r="K60">
            <v>897</v>
          </cell>
          <cell r="L60">
            <v>3037</v>
          </cell>
          <cell r="M60">
            <v>603</v>
          </cell>
          <cell r="N60">
            <v>2152</v>
          </cell>
          <cell r="O60">
            <v>1469</v>
          </cell>
          <cell r="P60">
            <v>6737</v>
          </cell>
          <cell r="Q60">
            <v>567</v>
          </cell>
          <cell r="R60">
            <v>1774</v>
          </cell>
          <cell r="S60">
            <v>1581</v>
          </cell>
          <cell r="T60">
            <v>879</v>
          </cell>
          <cell r="U60">
            <v>3318</v>
          </cell>
          <cell r="V60">
            <v>3121.93</v>
          </cell>
          <cell r="W60">
            <v>2451</v>
          </cell>
          <cell r="X60">
            <v>2475</v>
          </cell>
          <cell r="Y60">
            <v>652.5</v>
          </cell>
          <cell r="Z60">
            <v>870</v>
          </cell>
          <cell r="AA60">
            <v>1901</v>
          </cell>
          <cell r="AB60">
            <v>2013</v>
          </cell>
          <cell r="AC60">
            <v>1257</v>
          </cell>
          <cell r="AD60">
            <v>822</v>
          </cell>
          <cell r="AE60">
            <v>674</v>
          </cell>
          <cell r="AF60">
            <v>46870.93</v>
          </cell>
        </row>
        <row r="61">
          <cell r="B61" t="str">
            <v>Net tuition revenue by SCCH</v>
          </cell>
          <cell r="C61">
            <v>1182.7940193607517</v>
          </cell>
          <cell r="D61">
            <v>976.34113431230412</v>
          </cell>
          <cell r="E61">
            <v>1081.6830698666392</v>
          </cell>
          <cell r="F61">
            <v>969.29309304007745</v>
          </cell>
          <cell r="G61">
            <v>1162.0280337696358</v>
          </cell>
          <cell r="H61">
            <v>1596.5331112019803</v>
          </cell>
          <cell r="I61">
            <v>1328.8715062361675</v>
          </cell>
          <cell r="J61">
            <v>917.37625660308004</v>
          </cell>
          <cell r="K61">
            <v>1214.2643006992405</v>
          </cell>
          <cell r="L61">
            <v>1021.9720064658683</v>
          </cell>
          <cell r="M61">
            <v>1391.12503433952</v>
          </cell>
          <cell r="N61">
            <v>948.99500842041095</v>
          </cell>
          <cell r="O61">
            <v>1046.1959166827244</v>
          </cell>
          <cell r="P61">
            <v>1815.8845603010004</v>
          </cell>
          <cell r="Q61">
            <v>625.94882310075786</v>
          </cell>
          <cell r="R61">
            <v>1076.6168821111401</v>
          </cell>
          <cell r="S61">
            <v>1794.3518781120754</v>
          </cell>
          <cell r="T61">
            <v>1317.4569223791991</v>
          </cell>
          <cell r="U61">
            <v>1077.050324016946</v>
          </cell>
          <cell r="V61">
            <v>839.69225278529484</v>
          </cell>
          <cell r="W61">
            <v>1410.5241642993042</v>
          </cell>
          <cell r="X61">
            <v>1086.2815706638678</v>
          </cell>
          <cell r="Y61">
            <v>992.94212744038759</v>
          </cell>
          <cell r="Z61">
            <v>1096.2349303067488</v>
          </cell>
          <cell r="AA61">
            <v>1142.0428312073784</v>
          </cell>
          <cell r="AB61">
            <v>1090.0267560677139</v>
          </cell>
          <cell r="AC61">
            <v>1078.1674869453605</v>
          </cell>
          <cell r="AD61">
            <v>1187.8792194490345</v>
          </cell>
          <cell r="AE61">
            <v>886.40442653666685</v>
          </cell>
          <cell r="AF61">
            <v>1216.8096556024441</v>
          </cell>
        </row>
        <row r="62">
          <cell r="B62" t="str">
            <v>Number of faculty (FTE)</v>
          </cell>
          <cell r="C62">
            <v>3.33</v>
          </cell>
          <cell r="D62">
            <v>13.33</v>
          </cell>
          <cell r="E62">
            <v>12</v>
          </cell>
          <cell r="F62">
            <v>2.33</v>
          </cell>
          <cell r="G62">
            <v>14.31</v>
          </cell>
          <cell r="H62">
            <v>5.66</v>
          </cell>
          <cell r="I62">
            <v>9.98</v>
          </cell>
          <cell r="J62">
            <v>3.99</v>
          </cell>
          <cell r="K62">
            <v>5</v>
          </cell>
          <cell r="L62">
            <v>21.99</v>
          </cell>
          <cell r="M62">
            <v>3.33</v>
          </cell>
          <cell r="N62">
            <v>13.32</v>
          </cell>
          <cell r="O62">
            <v>12.32</v>
          </cell>
          <cell r="P62">
            <v>53.6</v>
          </cell>
          <cell r="Q62">
            <v>5.98</v>
          </cell>
          <cell r="R62">
            <v>9</v>
          </cell>
          <cell r="S62">
            <v>12.97</v>
          </cell>
          <cell r="T62">
            <v>4</v>
          </cell>
          <cell r="U62">
            <v>24.04</v>
          </cell>
          <cell r="V62">
            <v>44.75</v>
          </cell>
          <cell r="W62">
            <v>24.98</v>
          </cell>
          <cell r="X62">
            <v>12</v>
          </cell>
          <cell r="Y62">
            <v>5</v>
          </cell>
          <cell r="Z62">
            <v>5</v>
          </cell>
          <cell r="AA62">
            <v>11.99</v>
          </cell>
          <cell r="AB62">
            <v>11.99</v>
          </cell>
          <cell r="AC62">
            <v>9</v>
          </cell>
          <cell r="AD62">
            <v>7.33</v>
          </cell>
          <cell r="AE62">
            <v>8.14</v>
          </cell>
          <cell r="AF62">
            <v>370.65999999999997</v>
          </cell>
        </row>
        <row r="63">
          <cell r="B63" t="str">
            <v>Faculty Costs per SCCH</v>
          </cell>
          <cell r="C63">
            <v>650.33872114935502</v>
          </cell>
          <cell r="D63">
            <v>683.05433078602618</v>
          </cell>
          <cell r="E63">
            <v>964.17853767918632</v>
          </cell>
          <cell r="F63">
            <v>498.1586666666667</v>
          </cell>
          <cell r="G63">
            <v>724.95653127101548</v>
          </cell>
          <cell r="H63">
            <v>1144.2182219917011</v>
          </cell>
          <cell r="I63">
            <v>703.0667476711219</v>
          </cell>
          <cell r="J63">
            <v>808.01473103448257</v>
          </cell>
          <cell r="K63">
            <v>873.1260869565217</v>
          </cell>
          <cell r="L63">
            <v>426.19128086927884</v>
          </cell>
          <cell r="M63">
            <v>743.98805970149249</v>
          </cell>
          <cell r="N63">
            <v>508.84439916356871</v>
          </cell>
          <cell r="O63">
            <v>651.10796460176994</v>
          </cell>
          <cell r="P63">
            <v>1160.8274705358467</v>
          </cell>
          <cell r="Q63">
            <v>1242.703130511464</v>
          </cell>
          <cell r="R63">
            <v>429.46076719278472</v>
          </cell>
          <cell r="S63">
            <v>1069.3507273877292</v>
          </cell>
          <cell r="T63">
            <v>722.99670079635951</v>
          </cell>
          <cell r="U63">
            <v>448.26827637130805</v>
          </cell>
          <cell r="V63">
            <v>1108.8841847831311</v>
          </cell>
          <cell r="W63">
            <v>984.51883231334148</v>
          </cell>
          <cell r="X63">
            <v>416.69212525252522</v>
          </cell>
          <cell r="Y63">
            <v>639.46420229885064</v>
          </cell>
          <cell r="Z63">
            <v>632.7026781609195</v>
          </cell>
          <cell r="AA63">
            <v>461.29245134139921</v>
          </cell>
          <cell r="AB63">
            <v>420.7119672131148</v>
          </cell>
          <cell r="AC63">
            <v>521.11248766905328</v>
          </cell>
          <cell r="AD63">
            <v>589.15272506082727</v>
          </cell>
          <cell r="AE63">
            <v>832.42552818991101</v>
          </cell>
          <cell r="AF63">
            <v>740.35945006837835</v>
          </cell>
        </row>
        <row r="64">
          <cell r="B64" t="str">
            <v>Average cost per faculty</v>
          </cell>
          <cell r="C64">
            <v>165221.18861632262</v>
          </cell>
          <cell r="D64">
            <v>93875.133833458356</v>
          </cell>
          <cell r="E64">
            <v>73357.917075091435</v>
          </cell>
          <cell r="F64">
            <v>83382.781115879829</v>
          </cell>
          <cell r="G64">
            <v>75332.659818308864</v>
          </cell>
          <cell r="H64">
            <v>97440.491696113066</v>
          </cell>
          <cell r="I64">
            <v>86967.525050100201</v>
          </cell>
          <cell r="J64">
            <v>88091.831578947342</v>
          </cell>
          <cell r="K64">
            <v>156638.82</v>
          </cell>
          <cell r="L64">
            <v>58860.523874488405</v>
          </cell>
          <cell r="M64">
            <v>134722.16216216216</v>
          </cell>
          <cell r="N64">
            <v>82209.695720720716</v>
          </cell>
          <cell r="O64">
            <v>77636.168831168834</v>
          </cell>
          <cell r="P64">
            <v>145904.75128731341</v>
          </cell>
          <cell r="Q64">
            <v>117828.20652173914</v>
          </cell>
          <cell r="R64">
            <v>84651.489000000001</v>
          </cell>
          <cell r="S64">
            <v>130350.30840400925</v>
          </cell>
          <cell r="T64">
            <v>158878.52499999999</v>
          </cell>
          <cell r="U64">
            <v>61869.972587354416</v>
          </cell>
          <cell r="V64">
            <v>77359.973251396659</v>
          </cell>
          <cell r="W64">
            <v>96599.505924739788</v>
          </cell>
          <cell r="X64">
            <v>85942.750833333324</v>
          </cell>
          <cell r="Y64">
            <v>83450.078400000013</v>
          </cell>
          <cell r="Z64">
            <v>110090.26599999999</v>
          </cell>
          <cell r="AA64">
            <v>73137.360300250206</v>
          </cell>
          <cell r="AB64">
            <v>70633.293577981662</v>
          </cell>
          <cell r="AC64">
            <v>72782.044111111114</v>
          </cell>
          <cell r="AD64">
            <v>66068.695770804901</v>
          </cell>
          <cell r="AE64">
            <v>68925.651842751831</v>
          </cell>
          <cell r="AF64">
            <v>93620.395939657537</v>
          </cell>
        </row>
        <row r="65">
          <cell r="B65" t="str">
            <v>Number of academic staff</v>
          </cell>
          <cell r="C65">
            <v>2.4</v>
          </cell>
          <cell r="D65">
            <v>3.5333333333333332</v>
          </cell>
          <cell r="E65">
            <v>2.5333333333333332</v>
          </cell>
          <cell r="F65">
            <v>0.53333333333333333</v>
          </cell>
          <cell r="G65">
            <v>6.5333333333333332</v>
          </cell>
          <cell r="H65">
            <v>2.3333333333333335</v>
          </cell>
          <cell r="I65">
            <v>1.5333333333333332</v>
          </cell>
          <cell r="J65">
            <v>2.8</v>
          </cell>
          <cell r="K65">
            <v>0.53333333333333333</v>
          </cell>
          <cell r="L65">
            <v>1.5333333333333332</v>
          </cell>
          <cell r="M65">
            <v>2.4</v>
          </cell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</row>
        <row r="66">
          <cell r="B66" t="str">
            <v>Student : Faculty Ratio</v>
          </cell>
          <cell r="C66">
            <v>15.9</v>
          </cell>
          <cell r="D66">
            <v>8.6999999999999993</v>
          </cell>
          <cell r="E66">
            <v>7</v>
          </cell>
          <cell r="F66">
            <v>10.8</v>
          </cell>
          <cell r="G66">
            <v>7.6</v>
          </cell>
          <cell r="H66">
            <v>8.5</v>
          </cell>
          <cell r="I66">
            <v>9.6</v>
          </cell>
          <cell r="J66">
            <v>6.8</v>
          </cell>
          <cell r="K66">
            <v>11.2</v>
          </cell>
          <cell r="L66">
            <v>8.5</v>
          </cell>
          <cell r="M66">
            <v>11.3</v>
          </cell>
          <cell r="N66">
            <v>10.199999999999999</v>
          </cell>
          <cell r="O66">
            <v>8.1</v>
          </cell>
          <cell r="P66">
            <v>10.6</v>
          </cell>
          <cell r="Q66">
            <v>16</v>
          </cell>
          <cell r="R66">
            <v>13</v>
          </cell>
          <cell r="S66">
            <v>9.6</v>
          </cell>
          <cell r="T66">
            <v>13.7</v>
          </cell>
          <cell r="U66">
            <v>9.1999999999999993</v>
          </cell>
          <cell r="V66">
            <v>4.8</v>
          </cell>
          <cell r="W66">
            <v>13.3</v>
          </cell>
          <cell r="X66">
            <v>14.1</v>
          </cell>
          <cell r="Y66">
            <v>8.1999999999999993</v>
          </cell>
          <cell r="Z66">
            <v>11.1</v>
          </cell>
          <cell r="AA66">
            <v>12.3</v>
          </cell>
          <cell r="AB66">
            <v>12.6</v>
          </cell>
          <cell r="AC66">
            <v>9.9</v>
          </cell>
          <cell r="AD66">
            <v>7.7</v>
          </cell>
          <cell r="AE66">
            <v>8.6999999999999993</v>
          </cell>
          <cell r="AF66">
            <v>10.310344827586205</v>
          </cell>
        </row>
        <row r="67">
          <cell r="B67" t="str">
            <v>Student : Academic Staff Ratio</v>
          </cell>
          <cell r="C67">
            <v>117.5</v>
          </cell>
          <cell r="D67">
            <v>254.15094339622641</v>
          </cell>
          <cell r="E67">
            <v>179.21052631578948</v>
          </cell>
          <cell r="F67">
            <v>243.75</v>
          </cell>
          <cell r="G67">
            <v>93.673469387755105</v>
          </cell>
          <cell r="H67">
            <v>78.857142857142847</v>
          </cell>
          <cell r="I67">
            <v>328.04347826086956</v>
          </cell>
          <cell r="J67">
            <v>70</v>
          </cell>
          <cell r="K67">
            <v>560.625</v>
          </cell>
          <cell r="L67">
            <v>673.69565217391312</v>
          </cell>
          <cell r="M67">
            <v>83.75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</row>
        <row r="68">
          <cell r="B68" t="str">
            <v>Program administrative overhead per student</v>
          </cell>
          <cell r="C68">
            <v>2068.3636350524253</v>
          </cell>
          <cell r="D68">
            <v>1448.2870979955458</v>
          </cell>
          <cell r="E68">
            <v>2018.2083905391694</v>
          </cell>
          <cell r="F68">
            <v>1548.1901538461539</v>
          </cell>
          <cell r="G68">
            <v>1889.4376666666667</v>
          </cell>
          <cell r="H68">
            <v>3239.3000706521739</v>
          </cell>
          <cell r="I68">
            <v>1808.1643538767396</v>
          </cell>
          <cell r="J68">
            <v>1834.9048367346936</v>
          </cell>
          <cell r="K68">
            <v>2729.1809364548494</v>
          </cell>
          <cell r="L68">
            <v>1285.0410842207164</v>
          </cell>
          <cell r="M68">
            <v>2361.8547263681589</v>
          </cell>
          <cell r="N68">
            <v>1471.5945558475689</v>
          </cell>
          <cell r="O68">
            <v>1726.4770671378092</v>
          </cell>
          <cell r="P68">
            <v>3916.8077748667847</v>
          </cell>
          <cell r="Q68">
            <v>2966.7289964788733</v>
          </cell>
          <cell r="R68">
            <v>1389.4103918439719</v>
          </cell>
          <cell r="S68">
            <v>1475.7814321398835</v>
          </cell>
          <cell r="T68">
            <v>2286.9047781569966</v>
          </cell>
          <cell r="U68">
            <v>824.18296987627764</v>
          </cell>
          <cell r="V68">
            <v>1750.7541445386066</v>
          </cell>
          <cell r="W68">
            <v>3777.2329579100142</v>
          </cell>
          <cell r="X68">
            <v>1276.692012121212</v>
          </cell>
          <cell r="Y68">
            <v>1441.0003388704322</v>
          </cell>
          <cell r="Z68">
            <v>1967.6974137931034</v>
          </cell>
          <cell r="AA68">
            <v>1272.4911344537813</v>
          </cell>
          <cell r="AB68">
            <v>1291.5229359165426</v>
          </cell>
          <cell r="AC68">
            <v>1510.071159192825</v>
          </cell>
          <cell r="AD68">
            <v>1660.9848837209302</v>
          </cell>
          <cell r="AE68">
            <v>1702.1996395348835</v>
          </cell>
          <cell r="AF68">
            <v>1923.149812231653</v>
          </cell>
        </row>
        <row r="69">
          <cell r="B69" t="str">
            <v>Indirect cost/university overhead per student</v>
          </cell>
          <cell r="C69">
            <v>1161.2165934703651</v>
          </cell>
          <cell r="D69">
            <v>982.13899744570881</v>
          </cell>
          <cell r="E69">
            <v>988.52972653543577</v>
          </cell>
          <cell r="F69">
            <v>983.83709594104573</v>
          </cell>
          <cell r="G69">
            <v>986.84796045495068</v>
          </cell>
          <cell r="H69">
            <v>945.69457393607718</v>
          </cell>
          <cell r="I69">
            <v>984.89483122313038</v>
          </cell>
          <cell r="J69">
            <v>1016.7052062599741</v>
          </cell>
          <cell r="K69">
            <v>1163.9266742984501</v>
          </cell>
          <cell r="L69">
            <v>985.69262741664556</v>
          </cell>
          <cell r="M69">
            <v>1163.8410552181283</v>
          </cell>
          <cell r="N69">
            <v>983.60557510472381</v>
          </cell>
          <cell r="O69">
            <v>985.95695259661477</v>
          </cell>
          <cell r="P69">
            <v>1316.1409316833183</v>
          </cell>
          <cell r="Q69">
            <v>940.34239362277265</v>
          </cell>
          <cell r="R69">
            <v>982.75302436456025</v>
          </cell>
          <cell r="S69">
            <v>1160.6600188523435</v>
          </cell>
          <cell r="T69">
            <v>1162.2332350079857</v>
          </cell>
          <cell r="U69">
            <v>1012.6099651696143</v>
          </cell>
          <cell r="V69">
            <v>1017.0976607261989</v>
          </cell>
          <cell r="W69">
            <v>948.72490527067475</v>
          </cell>
          <cell r="X69">
            <v>981.97429154639019</v>
          </cell>
          <cell r="Y69">
            <v>983.11363085547555</v>
          </cell>
          <cell r="Z69">
            <v>983.46113049350595</v>
          </cell>
          <cell r="AA69">
            <v>983.21368721292856</v>
          </cell>
          <cell r="AB69">
            <v>983.80719041619511</v>
          </cell>
          <cell r="AC69">
            <v>985.08147328184248</v>
          </cell>
          <cell r="AD69">
            <v>1018.9085119194666</v>
          </cell>
          <cell r="AE69">
            <v>1018.5283157245856</v>
          </cell>
          <cell r="AF69">
            <v>1049.5148622711004</v>
          </cell>
        </row>
        <row r="70">
          <cell r="B70" t="str">
            <v>Average course cap</v>
          </cell>
          <cell r="C70" t="str">
            <v xml:space="preserve"> </v>
          </cell>
          <cell r="D70"/>
          <cell r="E70"/>
          <cell r="F70"/>
          <cell r="G70"/>
          <cell r="H70"/>
          <cell r="I70"/>
          <cell r="J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</row>
        <row r="71">
          <cell r="B71" t="str">
            <v>Number of student enrolled/(numbers of courses * average course cap)</v>
          </cell>
          <cell r="C71">
            <v>0.81739130434782614</v>
          </cell>
          <cell r="D71">
            <v>0.85768863419293218</v>
          </cell>
          <cell r="E71">
            <v>0.6941896024464832</v>
          </cell>
          <cell r="F71">
            <v>0.42483660130718953</v>
          </cell>
          <cell r="G71">
            <v>0.65594855305466238</v>
          </cell>
          <cell r="H71">
            <v>0.67647058823529416</v>
          </cell>
          <cell r="I71">
            <v>0.65767045454545459</v>
          </cell>
          <cell r="J71">
            <v>0.57647058823529407</v>
          </cell>
          <cell r="K71">
            <v>0.8305555555555556</v>
          </cell>
          <cell r="L71">
            <v>0.93399638336347202</v>
          </cell>
          <cell r="M71">
            <v>0.63809523809523805</v>
          </cell>
          <cell r="N71">
            <v>0.81303418803418803</v>
          </cell>
          <cell r="O71">
            <v>0.7231222385861561</v>
          </cell>
          <cell r="P71">
            <v>0.69742954475069685</v>
          </cell>
          <cell r="Q71">
            <v>0.23133414932680538</v>
          </cell>
          <cell r="R71">
            <v>0.70765370138017569</v>
          </cell>
          <cell r="S71">
            <v>0.65018181818181819</v>
          </cell>
          <cell r="T71">
            <v>0.78133333333333332</v>
          </cell>
          <cell r="U71">
            <v>0.6740391588107324</v>
          </cell>
          <cell r="V71">
            <v>0.52109375000000002</v>
          </cell>
          <cell r="W71">
            <v>0.7689732142857143</v>
          </cell>
          <cell r="X71">
            <v>0.88519313304721026</v>
          </cell>
          <cell r="Y71">
            <v>0.76982097186700771</v>
          </cell>
          <cell r="Z71">
            <v>0.68396226415094341</v>
          </cell>
          <cell r="AA71">
            <v>0.82830626450116007</v>
          </cell>
          <cell r="AB71">
            <v>0.88405797101449279</v>
          </cell>
          <cell r="AC71">
            <v>0.84469696969696972</v>
          </cell>
          <cell r="AD71">
            <v>0.74875621890547261</v>
          </cell>
          <cell r="AE71">
            <v>0.68662674650698607</v>
          </cell>
          <cell r="AF71">
            <v>0.7125147979227332</v>
          </cell>
        </row>
        <row r="72">
          <cell r="B72" t="str">
            <v>Students majors enrolled</v>
          </cell>
          <cell r="C72">
            <v>0.25886524822695034</v>
          </cell>
          <cell r="D72">
            <v>0.29579579579579579</v>
          </cell>
          <cell r="E72">
            <v>0.27293577981651373</v>
          </cell>
          <cell r="F72">
            <v>7.0000000000000007E-2</v>
          </cell>
          <cell r="G72">
            <v>0.73</v>
          </cell>
          <cell r="H72">
            <v>0.94736842105263153</v>
          </cell>
          <cell r="I72">
            <v>0.49</v>
          </cell>
          <cell r="J72">
            <v>0.74489795918367352</v>
          </cell>
          <cell r="K72">
            <v>0.21981424148606812</v>
          </cell>
          <cell r="L72">
            <v>0.29235237173281703</v>
          </cell>
          <cell r="M72">
            <v>0.21468926553672316</v>
          </cell>
          <cell r="N72">
            <v>0.14718019257221457</v>
          </cell>
          <cell r="O72">
            <v>6.4272211720226846E-2</v>
          </cell>
          <cell r="P72">
            <v>1</v>
          </cell>
          <cell r="Q72">
            <v>0.96907216494845361</v>
          </cell>
          <cell r="R72">
            <v>9.9290780141843976E-2</v>
          </cell>
          <cell r="S72">
            <v>0.24889380530973451</v>
          </cell>
          <cell r="T72">
            <v>0.21843003412969283</v>
          </cell>
          <cell r="U72">
            <v>0.83322517845554833</v>
          </cell>
          <cell r="V72">
            <v>0.55607720396452787</v>
          </cell>
          <cell r="W72">
            <v>1</v>
          </cell>
          <cell r="X72">
            <v>0.68627450980392157</v>
          </cell>
          <cell r="Y72">
            <v>0.24894514767932491</v>
          </cell>
          <cell r="Z72">
            <v>0.48965517241379308</v>
          </cell>
          <cell r="AA72">
            <v>0.68627450980392157</v>
          </cell>
          <cell r="AB72">
            <v>1.3888888888888888E-2</v>
          </cell>
          <cell r="AC72">
            <v>0.2219679633867277</v>
          </cell>
          <cell r="AD72">
            <v>0.34883720930232559</v>
          </cell>
          <cell r="AE72">
            <v>0.81055900621118016</v>
          </cell>
          <cell r="AF72"/>
        </row>
        <row r="73">
          <cell r="B73"/>
          <cell r="C73"/>
          <cell r="D73"/>
          <cell r="E73"/>
          <cell r="F73"/>
          <cell r="G73"/>
          <cell r="H73"/>
          <cell r="I73"/>
          <cell r="J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/>
          <cell r="AF73"/>
        </row>
        <row r="74">
          <cell r="B74" t="str">
            <v>Revenues genereated by the majors</v>
          </cell>
          <cell r="C74"/>
          <cell r="D74"/>
          <cell r="E74"/>
          <cell r="F74"/>
          <cell r="G74"/>
          <cell r="H74"/>
          <cell r="I74"/>
          <cell r="J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/>
          <cell r="AF74"/>
        </row>
        <row r="75">
          <cell r="B75" t="str">
            <v>Gross revenue</v>
          </cell>
          <cell r="C75">
            <v>1938989.0000000009</v>
          </cell>
          <cell r="D75">
            <v>5834745.9999999749</v>
          </cell>
          <cell r="E75">
            <v>2046209.9999999963</v>
          </cell>
          <cell r="F75">
            <v>141188.99999999997</v>
          </cell>
          <cell r="G75">
            <v>7055956.0000000382</v>
          </cell>
          <cell r="H75">
            <v>829586.00000000047</v>
          </cell>
          <cell r="I75">
            <v>2802769.4999999776</v>
          </cell>
          <cell r="J75">
            <v>1729939.9999999956</v>
          </cell>
          <cell r="K75">
            <v>1511368.999999996</v>
          </cell>
          <cell r="L75">
            <v>5816147.5000000568</v>
          </cell>
          <cell r="M75">
            <v>2153799.9999999925</v>
          </cell>
          <cell r="N75">
            <v>1885007.9999999986</v>
          </cell>
          <cell r="O75">
            <v>583715.50000000047</v>
          </cell>
          <cell r="P75">
            <v>19004611.085518379</v>
          </cell>
          <cell r="Q75">
            <v>458088.5</v>
          </cell>
          <cell r="R75">
            <v>908543.50000000081</v>
          </cell>
          <cell r="S75">
            <v>5120083.0000000065</v>
          </cell>
          <cell r="T75">
            <v>2691423.4090908831</v>
          </cell>
          <cell r="U75">
            <v>11340259.000000156</v>
          </cell>
          <cell r="V75">
            <v>8023236.4999999562</v>
          </cell>
          <cell r="W75">
            <v>3487287.9000000008</v>
          </cell>
          <cell r="X75">
            <v>989855.50000000081</v>
          </cell>
          <cell r="Y75">
            <v>1195077.5000000005</v>
          </cell>
          <cell r="Z75">
            <v>2736225.4999999725</v>
          </cell>
          <cell r="AA75">
            <v>7656176.0000001155</v>
          </cell>
          <cell r="AB75">
            <v>196965.99999999985</v>
          </cell>
          <cell r="AC75">
            <v>1754931.4999999967</v>
          </cell>
          <cell r="AD75">
            <v>1475687.0000000005</v>
          </cell>
          <cell r="AE75">
            <v>2079645.9999999935</v>
          </cell>
          <cell r="AF75">
            <v>103447523.3946095</v>
          </cell>
        </row>
        <row r="76">
          <cell r="B76" t="str">
            <v>Financial aid</v>
          </cell>
          <cell r="C76">
            <v>1219518.8199999991</v>
          </cell>
          <cell r="D76">
            <v>3767250.9099999955</v>
          </cell>
          <cell r="E76">
            <v>1301795.9899999956</v>
          </cell>
          <cell r="F76">
            <v>86530.939999999973</v>
          </cell>
          <cell r="G76">
            <v>3915403.780000044</v>
          </cell>
          <cell r="H76">
            <v>108567.68999999983</v>
          </cell>
          <cell r="I76">
            <v>2641595.4999999776</v>
          </cell>
          <cell r="J76">
            <v>1125107.7499999958</v>
          </cell>
          <cell r="K76">
            <v>864548.37999999581</v>
          </cell>
          <cell r="L76">
            <v>3442319.1300000739</v>
          </cell>
          <cell r="M76">
            <v>1167327.6499999885</v>
          </cell>
          <cell r="N76">
            <v>1043827.6499999968</v>
          </cell>
          <cell r="O76">
            <v>390911.80000000016</v>
          </cell>
          <cell r="P76">
            <v>7435416.7055183649</v>
          </cell>
          <cell r="Q76">
            <v>94523.070000000065</v>
          </cell>
          <cell r="R76">
            <v>615959.84000000078</v>
          </cell>
          <cell r="S76">
            <v>3743904.5000000019</v>
          </cell>
          <cell r="T76">
            <v>1285784.659090888</v>
          </cell>
          <cell r="U76">
            <v>6063783.0300001679</v>
          </cell>
          <cell r="V76">
            <v>7357911.9999999562</v>
          </cell>
          <cell r="W76">
            <v>60610.720000009052</v>
          </cell>
          <cell r="X76">
            <v>574537.55999999959</v>
          </cell>
          <cell r="Y76">
            <v>848920.8</v>
          </cell>
          <cell r="Z76">
            <v>1511051.8399999747</v>
          </cell>
          <cell r="AA76">
            <v>4275805.0100001246</v>
          </cell>
          <cell r="AB76">
            <v>102691.77999999978</v>
          </cell>
          <cell r="AC76">
            <v>1047144.9099999957</v>
          </cell>
          <cell r="AD76">
            <v>893444.89999999886</v>
          </cell>
          <cell r="AE76">
            <v>1345355.0199999919</v>
          </cell>
          <cell r="AF76">
            <v>58331552.334609531</v>
          </cell>
        </row>
        <row r="77">
          <cell r="B77" t="str">
            <v>Net Revenue</v>
          </cell>
          <cell r="C77">
            <v>719470.1800000018</v>
          </cell>
          <cell r="D77">
            <v>2067495.0899999794</v>
          </cell>
          <cell r="E77">
            <v>744414.01000000082</v>
          </cell>
          <cell r="F77">
            <v>54658.060000000005</v>
          </cell>
          <cell r="G77">
            <v>3140552.2199999942</v>
          </cell>
          <cell r="H77">
            <v>721018.31000000064</v>
          </cell>
          <cell r="I77">
            <v>161173.99999999997</v>
          </cell>
          <cell r="J77">
            <v>604832.24999999988</v>
          </cell>
          <cell r="K77">
            <v>646820.62000000023</v>
          </cell>
          <cell r="L77">
            <v>2373828.3699999829</v>
          </cell>
          <cell r="M77">
            <v>986472.35000000405</v>
          </cell>
          <cell r="N77">
            <v>841180.35000000184</v>
          </cell>
          <cell r="O77">
            <v>192803.7000000003</v>
          </cell>
          <cell r="P77">
            <v>11569194.380000014</v>
          </cell>
          <cell r="Q77">
            <v>363565.42999999993</v>
          </cell>
          <cell r="R77">
            <v>292583.65999999997</v>
          </cell>
          <cell r="S77">
            <v>1376178.5000000047</v>
          </cell>
          <cell r="T77">
            <v>1405638.7499999951</v>
          </cell>
          <cell r="U77">
            <v>5276475.9699999886</v>
          </cell>
          <cell r="V77">
            <v>665324.5</v>
          </cell>
          <cell r="W77">
            <v>3426677.1799999918</v>
          </cell>
          <cell r="X77">
            <v>415317.94000000122</v>
          </cell>
          <cell r="Y77">
            <v>346156.70000000042</v>
          </cell>
          <cell r="Z77">
            <v>1225173.6599999978</v>
          </cell>
          <cell r="AA77">
            <v>3380370.9899999904</v>
          </cell>
          <cell r="AB77">
            <v>94274.220000000074</v>
          </cell>
          <cell r="AC77">
            <v>707786.59000000102</v>
          </cell>
          <cell r="AD77">
            <v>582242.10000000161</v>
          </cell>
          <cell r="AE77">
            <v>734290.98000000161</v>
          </cell>
          <cell r="AF77">
            <v>45115971.05999995</v>
          </cell>
        </row>
        <row r="78">
          <cell r="B78" t="str">
            <v>2016 majors based on IPEDS</v>
          </cell>
          <cell r="C78">
            <v>57</v>
          </cell>
          <cell r="D78">
            <v>187</v>
          </cell>
          <cell r="E78">
            <v>63</v>
          </cell>
          <cell r="F78">
            <v>6</v>
          </cell>
          <cell r="G78">
            <v>243</v>
          </cell>
          <cell r="H78">
            <v>77</v>
          </cell>
          <cell r="I78">
            <v>162</v>
          </cell>
          <cell r="J78">
            <v>57</v>
          </cell>
          <cell r="K78">
            <v>76</v>
          </cell>
          <cell r="L78">
            <v>167</v>
          </cell>
          <cell r="M78">
            <v>81</v>
          </cell>
          <cell r="N78">
            <v>82</v>
          </cell>
          <cell r="O78">
            <v>27</v>
          </cell>
          <cell r="P78">
            <v>568</v>
          </cell>
          <cell r="Q78">
            <v>220</v>
          </cell>
          <cell r="R78">
            <v>16</v>
          </cell>
          <cell r="S78">
            <v>306</v>
          </cell>
          <cell r="T78">
            <v>106</v>
          </cell>
          <cell r="U78">
            <v>363</v>
          </cell>
          <cell r="V78">
            <v>133</v>
          </cell>
          <cell r="W78">
            <v>573</v>
          </cell>
          <cell r="X78">
            <v>33</v>
          </cell>
          <cell r="Y78">
            <v>34</v>
          </cell>
          <cell r="Z78">
            <v>108</v>
          </cell>
          <cell r="AA78">
            <v>291</v>
          </cell>
          <cell r="AB78">
            <v>3</v>
          </cell>
          <cell r="AC78">
            <v>60</v>
          </cell>
          <cell r="AD78">
            <v>37</v>
          </cell>
          <cell r="AE78">
            <v>54</v>
          </cell>
          <cell r="AF78">
            <v>4190</v>
          </cell>
        </row>
        <row r="79">
          <cell r="B79" t="str">
            <v>Net Revenue per student major</v>
          </cell>
          <cell r="C79">
            <v>12622.283859649155</v>
          </cell>
          <cell r="D79">
            <v>11056.123475935719</v>
          </cell>
          <cell r="E79">
            <v>11816.095396825411</v>
          </cell>
          <cell r="F79">
            <v>9109.6766666666681</v>
          </cell>
          <cell r="G79">
            <v>12924.083209876519</v>
          </cell>
          <cell r="H79">
            <v>9363.8741558441634</v>
          </cell>
          <cell r="I79">
            <v>994.90123456790104</v>
          </cell>
          <cell r="J79">
            <v>10611.092105263157</v>
          </cell>
          <cell r="K79">
            <v>8510.797631578951</v>
          </cell>
          <cell r="L79">
            <v>14214.541137724449</v>
          </cell>
          <cell r="M79">
            <v>12178.670987654372</v>
          </cell>
          <cell r="N79">
            <v>10258.296951219534</v>
          </cell>
          <cell r="O79">
            <v>7140.8777777777887</v>
          </cell>
          <cell r="P79">
            <v>20368.299964788755</v>
          </cell>
          <cell r="Q79">
            <v>1652.570136363636</v>
          </cell>
          <cell r="R79">
            <v>1329.925727272727</v>
          </cell>
          <cell r="S79">
            <v>4497.3153594771393</v>
          </cell>
          <cell r="T79">
            <v>13260.742924528256</v>
          </cell>
          <cell r="U79">
            <v>14535.746473829169</v>
          </cell>
          <cell r="V79">
            <v>5002.4398496240601</v>
          </cell>
          <cell r="W79">
            <v>5980.2394066317484</v>
          </cell>
          <cell r="X79">
            <v>12585.392121212159</v>
          </cell>
          <cell r="Y79">
            <v>10181.079411764718</v>
          </cell>
          <cell r="Z79">
            <v>11344.200555555535</v>
          </cell>
          <cell r="AA79">
            <v>11616.395154639142</v>
          </cell>
          <cell r="AB79">
            <v>31424.740000000023</v>
          </cell>
          <cell r="AC79">
            <v>11796.443166666684</v>
          </cell>
          <cell r="AD79">
            <v>15736.272972973016</v>
          </cell>
          <cell r="AE79">
            <v>13597.981111111141</v>
          </cell>
          <cell r="AF79">
            <v>10767.534859188532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&amp;S BudvRF"/>
      <sheetName val="Var BudvRF"/>
      <sheetName val="P&amp;S RFvRF"/>
      <sheetName val="Var RFvRF"/>
      <sheetName val="LSFO"/>
      <sheetName val="Module1"/>
      <sheetName val="Module2"/>
      <sheetName val="Module3"/>
      <sheetName val="Module4"/>
      <sheetName val="Module5"/>
      <sheetName val="Module6"/>
      <sheetName val="Module8"/>
      <sheetName val="Module7"/>
      <sheetName val="Module9"/>
      <sheetName val="Module10"/>
      <sheetName val="Module11"/>
      <sheetName val="Operation_Summary"/>
      <sheetName val="KBI Input"/>
      <sheetName val="Cockpit"/>
      <sheetName val="BGP"/>
      <sheetName val="Taxas US$"/>
      <sheetName val="P&amp;S_BudvRF"/>
      <sheetName val="Var_BudvRF"/>
      <sheetName val="P&amp;S_RFvRF"/>
      <sheetName val="Var_RFvRF"/>
      <sheetName val="TAUX"/>
      <sheetName val="P&amp;S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1"/>
    </sheetNames>
    <sheetDataSet>
      <sheetData sheetId="0"/>
      <sheetData sheetId="1">
        <row r="1">
          <cell r="A1" t="str">
            <v>Department</v>
          </cell>
          <cell r="B1" t="str">
            <v>FY18</v>
          </cell>
          <cell r="C1" t="str">
            <v>FY19</v>
          </cell>
          <cell r="D1" t="str">
            <v>FY20</v>
          </cell>
        </row>
        <row r="2">
          <cell r="A2" t="str">
            <v>Accounting</v>
          </cell>
          <cell r="B2">
            <v>1512</v>
          </cell>
          <cell r="C2">
            <v>1554</v>
          </cell>
          <cell r="D2">
            <v>1584</v>
          </cell>
        </row>
        <row r="3">
          <cell r="A3" t="str">
            <v>Biology</v>
          </cell>
          <cell r="B3">
            <v>3221.5</v>
          </cell>
          <cell r="C3">
            <v>3613</v>
          </cell>
          <cell r="D3">
            <v>4112</v>
          </cell>
        </row>
        <row r="4">
          <cell r="A4" t="str">
            <v>Chemistry</v>
          </cell>
          <cell r="B4">
            <v>2337.5</v>
          </cell>
          <cell r="C4">
            <v>2249.5</v>
          </cell>
          <cell r="D4">
            <v>2051</v>
          </cell>
        </row>
        <row r="5">
          <cell r="A5" t="str">
            <v>Classical Studies</v>
          </cell>
          <cell r="B5">
            <v>615</v>
          </cell>
          <cell r="C5">
            <v>580</v>
          </cell>
          <cell r="D5">
            <v>709</v>
          </cell>
        </row>
        <row r="6">
          <cell r="A6" t="str">
            <v>Computer Science</v>
          </cell>
          <cell r="B6">
            <v>758</v>
          </cell>
          <cell r="C6">
            <v>1221</v>
          </cell>
          <cell r="D6">
            <v>1103</v>
          </cell>
        </row>
        <row r="7">
          <cell r="A7" t="str">
            <v>Counseling</v>
          </cell>
          <cell r="B7">
            <v>1003.5</v>
          </cell>
          <cell r="C7">
            <v>1228.5</v>
          </cell>
          <cell r="D7">
            <v>1361</v>
          </cell>
        </row>
        <row r="8">
          <cell r="A8" t="str">
            <v>Criminal Justice</v>
          </cell>
          <cell r="B8">
            <v>2891</v>
          </cell>
          <cell r="C8">
            <v>3937</v>
          </cell>
          <cell r="D8">
            <v>4865</v>
          </cell>
        </row>
        <row r="9">
          <cell r="A9" t="str">
            <v>Design</v>
          </cell>
          <cell r="B9">
            <v>861</v>
          </cell>
          <cell r="C9">
            <v>2054</v>
          </cell>
          <cell r="D9">
            <v>1335</v>
          </cell>
        </row>
        <row r="10">
          <cell r="A10" t="str">
            <v>Digital Filmmaking</v>
          </cell>
          <cell r="B10"/>
          <cell r="C10">
            <v>1825</v>
          </cell>
          <cell r="D10">
            <v>1664</v>
          </cell>
        </row>
        <row r="11">
          <cell r="A11" t="str">
            <v>Economics</v>
          </cell>
          <cell r="B11">
            <v>1668</v>
          </cell>
          <cell r="C11">
            <v>1730</v>
          </cell>
          <cell r="D11">
            <v>2013</v>
          </cell>
        </row>
        <row r="12">
          <cell r="A12" t="str">
            <v>English</v>
          </cell>
          <cell r="B12">
            <v>5782</v>
          </cell>
          <cell r="C12">
            <v>5794</v>
          </cell>
          <cell r="D12">
            <v>5969</v>
          </cell>
        </row>
        <row r="13">
          <cell r="A13" t="str">
            <v>Environment</v>
          </cell>
          <cell r="B13"/>
          <cell r="C13">
            <v>465</v>
          </cell>
          <cell r="D13">
            <v>7</v>
          </cell>
        </row>
        <row r="14">
          <cell r="A14" t="str">
            <v>Finance</v>
          </cell>
          <cell r="B14">
            <v>1431</v>
          </cell>
          <cell r="C14">
            <v>1245</v>
          </cell>
          <cell r="D14">
            <v>1233</v>
          </cell>
        </row>
        <row r="15">
          <cell r="A15" t="str">
            <v>Food Studies</v>
          </cell>
          <cell r="B15">
            <v>24</v>
          </cell>
          <cell r="C15">
            <v>117</v>
          </cell>
          <cell r="D15">
            <v>3</v>
          </cell>
        </row>
        <row r="16">
          <cell r="A16" t="str">
            <v>History</v>
          </cell>
          <cell r="B16">
            <v>4506</v>
          </cell>
          <cell r="C16">
            <v>5333</v>
          </cell>
          <cell r="D16">
            <v>6018</v>
          </cell>
        </row>
        <row r="17">
          <cell r="A17" t="str">
            <v>Honors</v>
          </cell>
          <cell r="B17"/>
          <cell r="C17">
            <v>81</v>
          </cell>
          <cell r="D17">
            <v>84</v>
          </cell>
        </row>
        <row r="18">
          <cell r="A18" t="str">
            <v>International Business</v>
          </cell>
          <cell r="B18"/>
          <cell r="C18">
            <v>15</v>
          </cell>
          <cell r="D18"/>
        </row>
        <row r="19">
          <cell r="A19" t="str">
            <v>Jesuit Social Research Inst</v>
          </cell>
          <cell r="B19"/>
          <cell r="C19"/>
          <cell r="D19">
            <v>81</v>
          </cell>
        </row>
        <row r="20">
          <cell r="A20" t="str">
            <v>LIM</v>
          </cell>
          <cell r="B20">
            <v>1266</v>
          </cell>
          <cell r="C20">
            <v>1401</v>
          </cell>
          <cell r="D20">
            <v>1287</v>
          </cell>
        </row>
        <row r="21">
          <cell r="A21" t="str">
            <v>Magis Enrichment</v>
          </cell>
          <cell r="B21"/>
          <cell r="C21">
            <v>306</v>
          </cell>
          <cell r="D21"/>
        </row>
        <row r="22">
          <cell r="A22" t="str">
            <v>Management</v>
          </cell>
          <cell r="B22">
            <v>4535</v>
          </cell>
          <cell r="C22">
            <v>5050</v>
          </cell>
          <cell r="D22">
            <v>4850.5</v>
          </cell>
        </row>
        <row r="23">
          <cell r="A23" t="str">
            <v>Marketing</v>
          </cell>
          <cell r="B23">
            <v>1646</v>
          </cell>
          <cell r="C23">
            <v>2040</v>
          </cell>
          <cell r="D23">
            <v>2316</v>
          </cell>
        </row>
        <row r="24">
          <cell r="A24" t="str">
            <v>Math</v>
          </cell>
          <cell r="B24">
            <v>3224</v>
          </cell>
          <cell r="C24">
            <v>3226</v>
          </cell>
          <cell r="D24">
            <v>3756</v>
          </cell>
        </row>
        <row r="25">
          <cell r="A25" t="str">
            <v>Music</v>
          </cell>
          <cell r="B25">
            <v>6453</v>
          </cell>
          <cell r="C25">
            <v>6145</v>
          </cell>
          <cell r="D25">
            <v>5484.5</v>
          </cell>
        </row>
        <row r="26">
          <cell r="A26" t="str">
            <v>Music Prep</v>
          </cell>
          <cell r="B26"/>
          <cell r="C26">
            <v>66</v>
          </cell>
          <cell r="D26"/>
        </row>
        <row r="27">
          <cell r="A27" t="str">
            <v>Philosophy</v>
          </cell>
          <cell r="B27">
            <v>4857</v>
          </cell>
          <cell r="C27">
            <v>5390</v>
          </cell>
          <cell r="D27">
            <v>6557</v>
          </cell>
        </row>
        <row r="28">
          <cell r="A28" t="str">
            <v>Physics</v>
          </cell>
          <cell r="B28">
            <v>1601.5</v>
          </cell>
          <cell r="C28">
            <v>1667.5</v>
          </cell>
          <cell r="D28">
            <v>1681.5</v>
          </cell>
        </row>
        <row r="29">
          <cell r="A29" t="str">
            <v>Political Science</v>
          </cell>
          <cell r="B29">
            <v>1629</v>
          </cell>
          <cell r="C29">
            <v>2035</v>
          </cell>
          <cell r="D29">
            <v>1956</v>
          </cell>
        </row>
        <row r="30">
          <cell r="A30" t="str">
            <v>Portfolio</v>
          </cell>
          <cell r="B30"/>
          <cell r="C30"/>
          <cell r="D30">
            <v>0</v>
          </cell>
        </row>
        <row r="31">
          <cell r="A31" t="str">
            <v>Psychology</v>
          </cell>
          <cell r="B31">
            <v>4010.5</v>
          </cell>
          <cell r="C31">
            <v>4830</v>
          </cell>
          <cell r="D31">
            <v>4972</v>
          </cell>
        </row>
        <row r="32">
          <cell r="A32" t="str">
            <v>Religious Studies</v>
          </cell>
          <cell r="B32">
            <v>3660</v>
          </cell>
          <cell r="C32">
            <v>4884</v>
          </cell>
          <cell r="D32">
            <v>4641</v>
          </cell>
        </row>
        <row r="33">
          <cell r="A33" t="str">
            <v>Sociology</v>
          </cell>
          <cell r="B33">
            <v>2333</v>
          </cell>
          <cell r="C33">
            <v>2099</v>
          </cell>
          <cell r="D33">
            <v>2135</v>
          </cell>
        </row>
        <row r="34">
          <cell r="A34" t="str">
            <v>Student Success</v>
          </cell>
          <cell r="B34"/>
          <cell r="C34"/>
          <cell r="D34">
            <v>96</v>
          </cell>
        </row>
        <row r="35">
          <cell r="A35" t="str">
            <v>Studio Art</v>
          </cell>
          <cell r="B35">
            <v>2046</v>
          </cell>
          <cell r="C35">
            <v>1379</v>
          </cell>
          <cell r="D35">
            <v>1870</v>
          </cell>
        </row>
        <row r="36">
          <cell r="A36" t="str">
            <v>University Library</v>
          </cell>
          <cell r="B36"/>
          <cell r="C36">
            <v>49</v>
          </cell>
          <cell r="D36">
            <v>169</v>
          </cell>
        </row>
        <row r="37">
          <cell r="A37" t="str">
            <v>Communication</v>
          </cell>
          <cell r="B37">
            <v>3411</v>
          </cell>
          <cell r="C37">
            <v>3665</v>
          </cell>
          <cell r="D37">
            <v>4055</v>
          </cell>
        </row>
        <row r="38">
          <cell r="A38" t="str">
            <v>Languages</v>
          </cell>
          <cell r="B38">
            <v>2494</v>
          </cell>
          <cell r="C38">
            <v>2765</v>
          </cell>
          <cell r="D38">
            <v>2804</v>
          </cell>
        </row>
        <row r="39">
          <cell r="A39" t="str">
            <v>Law</v>
          </cell>
          <cell r="B39">
            <v>13672</v>
          </cell>
          <cell r="C39">
            <v>14061</v>
          </cell>
          <cell r="D39">
            <v>14323</v>
          </cell>
        </row>
        <row r="40">
          <cell r="A40" t="str">
            <v>Music Industry</v>
          </cell>
          <cell r="B40">
            <v>6367</v>
          </cell>
          <cell r="C40">
            <v>5287</v>
          </cell>
          <cell r="D40">
            <v>5634.5</v>
          </cell>
        </row>
        <row r="41">
          <cell r="A41" t="str">
            <v>Nursing</v>
          </cell>
          <cell r="B41">
            <v>3999</v>
          </cell>
          <cell r="C41">
            <v>4533</v>
          </cell>
          <cell r="D41">
            <v>4100</v>
          </cell>
        </row>
        <row r="42">
          <cell r="A42" t="str">
            <v>Teacher Education</v>
          </cell>
          <cell r="B42">
            <v>579</v>
          </cell>
          <cell r="C42">
            <v>579</v>
          </cell>
          <cell r="D42">
            <v>396</v>
          </cell>
        </row>
        <row r="43">
          <cell r="A43" t="str">
            <v>Theatre</v>
          </cell>
          <cell r="B43">
            <v>1745</v>
          </cell>
          <cell r="C43">
            <v>1885</v>
          </cell>
          <cell r="D43">
            <v>1727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-18 Faculty x"/>
      <sheetName val="17-18 Course Listing x"/>
      <sheetName val="18-19 Faculty "/>
      <sheetName val="18-19 Course Enrollments"/>
      <sheetName val="19-20 Faculty  x"/>
      <sheetName val="19-20 Course Enrollments x"/>
      <sheetName val="20-21 Faculty"/>
      <sheetName val="Preliminary 20-21 Course Pivot"/>
      <sheetName val="Preliminary 20-21 Courses"/>
    </sheetNames>
    <sheetDataSet>
      <sheetData sheetId="0" refreshError="1"/>
      <sheetData sheetId="1" refreshError="1"/>
      <sheetData sheetId="2">
        <row r="15">
          <cell r="L15">
            <v>241435</v>
          </cell>
        </row>
        <row r="22">
          <cell r="M22">
            <v>56250</v>
          </cell>
        </row>
        <row r="23">
          <cell r="M23">
            <v>185185</v>
          </cell>
        </row>
      </sheetData>
      <sheetData sheetId="3" refreshError="1"/>
      <sheetData sheetId="4">
        <row r="22">
          <cell r="K22">
            <v>260185</v>
          </cell>
        </row>
      </sheetData>
      <sheetData sheetId="5" refreshError="1"/>
      <sheetData sheetId="6">
        <row r="18">
          <cell r="I18">
            <v>224148</v>
          </cell>
        </row>
      </sheetData>
      <sheetData sheetId="7" refreshError="1"/>
      <sheetData sheetId="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ability FY20"/>
      <sheetName val="20 v 21"/>
      <sheetName val="Pivot_dept_FS"/>
      <sheetName val="Key Ratios"/>
      <sheetName val="Spring and Fall Rev"/>
      <sheetName val="Pivot_dept_M"/>
      <sheetName val="Summer Rev"/>
      <sheetName val="Fringe Pivot"/>
      <sheetName val="Fringe"/>
      <sheetName val="Fringe Allocation for FY21"/>
      <sheetName val="Expenses"/>
      <sheetName val="Cost Pivot 2"/>
      <sheetName val="Cost Pivot"/>
      <sheetName val="Cost"/>
    </sheetNames>
    <sheetDataSet>
      <sheetData sheetId="0">
        <row r="1">
          <cell r="B1" t="str">
            <v>Department</v>
          </cell>
        </row>
      </sheetData>
      <sheetData sheetId="1" refreshError="1"/>
      <sheetData sheetId="2" refreshError="1"/>
      <sheetData sheetId="3">
        <row r="2">
          <cell r="A2" t="str">
            <v>Accounting</v>
          </cell>
          <cell r="B2" t="str">
            <v>BU</v>
          </cell>
          <cell r="C2">
            <v>346</v>
          </cell>
          <cell r="D2">
            <v>1.7920135459291657E-2</v>
          </cell>
          <cell r="E2">
            <v>2.210728192014878E-2</v>
          </cell>
          <cell r="F2">
            <v>0</v>
          </cell>
          <cell r="G2">
            <v>2.0313499680102372E-2</v>
          </cell>
          <cell r="H2">
            <v>0</v>
          </cell>
          <cell r="I2">
            <v>0.12990112512785545</v>
          </cell>
          <cell r="J2">
            <v>0</v>
          </cell>
          <cell r="K2">
            <v>0</v>
          </cell>
          <cell r="L2">
            <v>1.0191302845791769E-2</v>
          </cell>
          <cell r="M2">
            <v>2.9659863945578228E-2</v>
          </cell>
        </row>
        <row r="3">
          <cell r="A3" t="str">
            <v>Economics</v>
          </cell>
          <cell r="B3" t="str">
            <v>BU</v>
          </cell>
          <cell r="C3">
            <v>204</v>
          </cell>
          <cell r="D3">
            <v>1.1241239828794507E-2</v>
          </cell>
          <cell r="E3">
            <v>1.3854826524089028E-2</v>
          </cell>
          <cell r="F3">
            <v>0</v>
          </cell>
          <cell r="G3">
            <v>1.2742589038174452E-2</v>
          </cell>
          <cell r="H3">
            <v>0</v>
          </cell>
          <cell r="I3">
            <v>8.1486532560518243E-2</v>
          </cell>
          <cell r="J3">
            <v>0</v>
          </cell>
          <cell r="K3">
            <v>0</v>
          </cell>
          <cell r="L3">
            <v>1.1529990931467808E-2</v>
          </cell>
          <cell r="M3">
            <v>2.9659863945578228E-2</v>
          </cell>
        </row>
        <row r="4">
          <cell r="A4" t="str">
            <v>Finance</v>
          </cell>
          <cell r="B4" t="str">
            <v>BU</v>
          </cell>
          <cell r="C4">
            <v>446</v>
          </cell>
          <cell r="D4">
            <v>2.2623583086402336E-2</v>
          </cell>
          <cell r="E4">
            <v>2.7918870227233099E-2</v>
          </cell>
          <cell r="F4">
            <v>0</v>
          </cell>
          <cell r="G4">
            <v>2.5645126892727663E-2</v>
          </cell>
          <cell r="H4">
            <v>0</v>
          </cell>
          <cell r="I4">
            <v>0.16399590862598026</v>
          </cell>
          <cell r="J4">
            <v>0</v>
          </cell>
          <cell r="K4">
            <v>0</v>
          </cell>
          <cell r="L4">
            <v>8.8526147601157325E-3</v>
          </cell>
          <cell r="M4">
            <v>2.9659863945578228E-2</v>
          </cell>
        </row>
        <row r="5">
          <cell r="A5" t="str">
            <v>Management</v>
          </cell>
          <cell r="B5" t="str">
            <v>BU</v>
          </cell>
          <cell r="C5">
            <v>1217</v>
          </cell>
          <cell r="D5">
            <v>5.8887164291425612E-2</v>
          </cell>
          <cell r="E5">
            <v>6.0579996513047012E-2</v>
          </cell>
          <cell r="F5">
            <v>0</v>
          </cell>
          <cell r="G5">
            <v>6.6751972702068674E-2</v>
          </cell>
          <cell r="H5">
            <v>0</v>
          </cell>
          <cell r="I5">
            <v>0.42686668939652228</v>
          </cell>
          <cell r="J5">
            <v>0</v>
          </cell>
          <cell r="K5">
            <v>0.13686249193027755</v>
          </cell>
          <cell r="L5">
            <v>3.6965064559312512E-2</v>
          </cell>
          <cell r="M5">
            <v>2.9659863945578228E-2</v>
          </cell>
        </row>
        <row r="6">
          <cell r="A6" t="str">
            <v>Marketing</v>
          </cell>
          <cell r="B6" t="str">
            <v>BU</v>
          </cell>
          <cell r="C6">
            <v>545</v>
          </cell>
          <cell r="D6">
            <v>2.7279996237241897E-2</v>
          </cell>
          <cell r="E6">
            <v>3.3672342651246585E-2</v>
          </cell>
          <cell r="F6">
            <v>0</v>
          </cell>
          <cell r="G6">
            <v>3.0923437833226704E-2</v>
          </cell>
          <cell r="H6">
            <v>0</v>
          </cell>
          <cell r="I6">
            <v>0.19774974428912379</v>
          </cell>
          <cell r="J6">
            <v>0</v>
          </cell>
          <cell r="K6">
            <v>0</v>
          </cell>
          <cell r="L6">
            <v>1.2534006995724838E-2</v>
          </cell>
          <cell r="M6">
            <v>2.9659863945578228E-2</v>
          </cell>
        </row>
        <row r="7">
          <cell r="A7" t="str">
            <v>Biology</v>
          </cell>
          <cell r="B7" t="str">
            <v>CAS</v>
          </cell>
          <cell r="C7">
            <v>1194</v>
          </cell>
          <cell r="D7">
            <v>5.8649052255303147E-2</v>
          </cell>
          <cell r="E7">
            <v>7.2463241703957695E-2</v>
          </cell>
          <cell r="F7">
            <v>0</v>
          </cell>
          <cell r="G7">
            <v>6.9282059074429497E-2</v>
          </cell>
          <cell r="H7">
            <v>0</v>
          </cell>
          <cell r="I7">
            <v>0</v>
          </cell>
          <cell r="J7">
            <v>0.15984328932188185</v>
          </cell>
          <cell r="K7">
            <v>0</v>
          </cell>
          <cell r="L7">
            <v>5.2025305523167947E-2</v>
          </cell>
          <cell r="M7">
            <v>3.2653061224489799E-2</v>
          </cell>
        </row>
        <row r="8">
          <cell r="A8" t="str">
            <v>Chemistry</v>
          </cell>
          <cell r="B8" t="str">
            <v>CAS</v>
          </cell>
          <cell r="C8">
            <v>423</v>
          </cell>
          <cell r="D8">
            <v>2.2385471050279854E-2</v>
          </cell>
          <cell r="E8">
            <v>2.7655895856337535E-2</v>
          </cell>
          <cell r="F8">
            <v>0</v>
          </cell>
          <cell r="G8">
            <v>2.5375213265088504E-2</v>
          </cell>
          <cell r="H8">
            <v>0</v>
          </cell>
          <cell r="I8">
            <v>0</v>
          </cell>
          <cell r="J8">
            <v>6.1009806435072429E-2</v>
          </cell>
          <cell r="K8">
            <v>0</v>
          </cell>
          <cell r="L8">
            <v>2.3243511681133137E-2</v>
          </cell>
          <cell r="M8">
            <v>3.2653061224489799E-2</v>
          </cell>
        </row>
        <row r="9">
          <cell r="A9" t="str">
            <v>Computer Science</v>
          </cell>
          <cell r="B9" t="str">
            <v>CAS</v>
          </cell>
          <cell r="C9">
            <v>369</v>
          </cell>
          <cell r="D9">
            <v>1.9845609331640091E-2</v>
          </cell>
          <cell r="E9">
            <v>2.4517638170511995E-2</v>
          </cell>
          <cell r="F9">
            <v>0</v>
          </cell>
          <cell r="G9">
            <v>2.2496134570270845E-2</v>
          </cell>
          <cell r="H9">
            <v>0</v>
          </cell>
          <cell r="I9">
            <v>0</v>
          </cell>
          <cell r="J9">
            <v>5.4087616972183054E-2</v>
          </cell>
          <cell r="K9">
            <v>0</v>
          </cell>
          <cell r="L9">
            <v>1.5211383167076908E-2</v>
          </cell>
          <cell r="M9">
            <v>3.2653061224489799E-2</v>
          </cell>
        </row>
        <row r="10">
          <cell r="A10" t="str">
            <v>Criminal Justice</v>
          </cell>
          <cell r="B10" t="str">
            <v>CAS</v>
          </cell>
          <cell r="C10">
            <v>768</v>
          </cell>
          <cell r="D10">
            <v>3.8612365363811671E-2</v>
          </cell>
          <cell r="E10">
            <v>4.2940373103969316E-2</v>
          </cell>
          <cell r="F10">
            <v>0</v>
          </cell>
          <cell r="G10">
            <v>4.3769327148645766E-2</v>
          </cell>
          <cell r="H10">
            <v>0</v>
          </cell>
          <cell r="I10">
            <v>0</v>
          </cell>
          <cell r="J10">
            <v>0.10523490578131009</v>
          </cell>
          <cell r="K10">
            <v>5.2937378954163977E-2</v>
          </cell>
          <cell r="L10">
            <v>3.6630392537893505E-2</v>
          </cell>
          <cell r="M10">
            <v>3.2653061224489799E-2</v>
          </cell>
        </row>
        <row r="11">
          <cell r="A11" t="str">
            <v>English</v>
          </cell>
          <cell r="B11" t="str">
            <v>CAS</v>
          </cell>
          <cell r="C11">
            <v>575</v>
          </cell>
          <cell r="D11">
            <v>2.9534711443488071E-2</v>
          </cell>
          <cell r="E11">
            <v>3.6489510083105713E-2</v>
          </cell>
          <cell r="F11">
            <v>0</v>
          </cell>
          <cell r="G11">
            <v>3.3479286628278947E-2</v>
          </cell>
          <cell r="H11">
            <v>0</v>
          </cell>
          <cell r="I11">
            <v>0</v>
          </cell>
          <cell r="J11">
            <v>8.0494487886168448E-2</v>
          </cell>
          <cell r="K11">
            <v>0</v>
          </cell>
          <cell r="L11">
            <v>4.7674569244720813E-2</v>
          </cell>
          <cell r="M11">
            <v>3.2653061224489799E-2</v>
          </cell>
        </row>
        <row r="12">
          <cell r="A12" t="str">
            <v>Environment</v>
          </cell>
          <cell r="B12" t="str">
            <v>CAS</v>
          </cell>
          <cell r="C12">
            <v>227</v>
          </cell>
          <cell r="D12">
            <v>1.3166713701142942E-2</v>
          </cell>
          <cell r="E12">
            <v>1.6265182774452255E-2</v>
          </cell>
          <cell r="F12">
            <v>0</v>
          </cell>
          <cell r="G12">
            <v>1.4925223928342933E-2</v>
          </cell>
          <cell r="H12">
            <v>0</v>
          </cell>
          <cell r="I12">
            <v>0</v>
          </cell>
          <cell r="J12">
            <v>3.5884822458659149E-2</v>
          </cell>
          <cell r="K12">
            <v>0</v>
          </cell>
          <cell r="L12">
            <v>2.1591743317355447E-3</v>
          </cell>
          <cell r="M12">
            <v>3.2653061224489799E-2</v>
          </cell>
        </row>
        <row r="13">
          <cell r="A13" t="str">
            <v>History</v>
          </cell>
          <cell r="B13" t="str">
            <v>CAS</v>
          </cell>
          <cell r="C13">
            <v>337</v>
          </cell>
          <cell r="D13">
            <v>1.834050609096468E-2</v>
          </cell>
          <cell r="E13">
            <v>2.2657929912245016E-2</v>
          </cell>
          <cell r="F13">
            <v>0</v>
          </cell>
          <cell r="G13">
            <v>2.0790013862230755E-2</v>
          </cell>
          <cell r="H13">
            <v>0</v>
          </cell>
          <cell r="I13">
            <v>0</v>
          </cell>
          <cell r="J13">
            <v>4.9985578771952317E-2</v>
          </cell>
          <cell r="K13">
            <v>0</v>
          </cell>
          <cell r="L13">
            <v>3.2279656259446385E-2</v>
          </cell>
          <cell r="M13">
            <v>3.2653061224489799E-2</v>
          </cell>
        </row>
        <row r="14">
          <cell r="A14" t="str">
            <v>Languages</v>
          </cell>
          <cell r="B14" t="str">
            <v>CAS</v>
          </cell>
          <cell r="C14">
            <v>55</v>
          </cell>
          <cell r="D14">
            <v>5.0767837825125822E-3</v>
          </cell>
          <cell r="E14">
            <v>6.2692508862672164E-3</v>
          </cell>
          <cell r="F14">
            <v>0</v>
          </cell>
          <cell r="G14">
            <v>5.7548251226274254E-3</v>
          </cell>
          <cell r="H14">
            <v>0</v>
          </cell>
          <cell r="I14">
            <v>0</v>
          </cell>
          <cell r="J14">
            <v>1.3836367132418922E-2</v>
          </cell>
          <cell r="K14">
            <v>0</v>
          </cell>
          <cell r="L14">
            <v>2.3578183702552147E-2</v>
          </cell>
          <cell r="M14">
            <v>3.2653061224489799E-2</v>
          </cell>
        </row>
        <row r="15">
          <cell r="A15" t="str">
            <v>Math</v>
          </cell>
          <cell r="B15" t="str">
            <v>CAS</v>
          </cell>
          <cell r="C15">
            <v>67</v>
          </cell>
          <cell r="D15">
            <v>5.6411974977658621E-3</v>
          </cell>
          <cell r="E15">
            <v>6.9666414831173369E-3</v>
          </cell>
          <cell r="F15">
            <v>0</v>
          </cell>
          <cell r="G15">
            <v>6.3946203881424602E-3</v>
          </cell>
          <cell r="H15">
            <v>0</v>
          </cell>
          <cell r="I15">
            <v>0</v>
          </cell>
          <cell r="J15">
            <v>1.5374631457505448E-2</v>
          </cell>
          <cell r="K15">
            <v>0</v>
          </cell>
          <cell r="L15">
            <v>1.9562119445524037E-2</v>
          </cell>
          <cell r="M15">
            <v>3.2653061224489799E-2</v>
          </cell>
        </row>
        <row r="16">
          <cell r="A16" t="str">
            <v>Philosophy</v>
          </cell>
          <cell r="B16" t="str">
            <v>CAS</v>
          </cell>
          <cell r="C16">
            <v>265</v>
          </cell>
          <cell r="D16">
            <v>1.4954023799444991E-2</v>
          </cell>
          <cell r="E16">
            <v>1.8473586331144296E-2</v>
          </cell>
          <cell r="F16">
            <v>0</v>
          </cell>
          <cell r="G16">
            <v>1.6951242269140545E-2</v>
          </cell>
          <cell r="H16">
            <v>0</v>
          </cell>
          <cell r="I16">
            <v>0</v>
          </cell>
          <cell r="J16">
            <v>4.0755992821433148E-2</v>
          </cell>
          <cell r="K16">
            <v>0</v>
          </cell>
          <cell r="L16">
            <v>3.3953016366541432E-2</v>
          </cell>
          <cell r="M16">
            <v>3.2653061224489799E-2</v>
          </cell>
        </row>
        <row r="17">
          <cell r="A17" t="str">
            <v>Physics</v>
          </cell>
          <cell r="B17" t="str">
            <v>CAS</v>
          </cell>
          <cell r="C17">
            <v>222</v>
          </cell>
          <cell r="D17">
            <v>1.2931541319787401E-2</v>
          </cell>
          <cell r="E17">
            <v>1.5974603359098036E-2</v>
          </cell>
          <cell r="F17">
            <v>0</v>
          </cell>
          <cell r="G17">
            <v>1.4658642567711664E-2</v>
          </cell>
          <cell r="H17">
            <v>0</v>
          </cell>
          <cell r="I17">
            <v>0</v>
          </cell>
          <cell r="J17">
            <v>3.5243878989873093E-2</v>
          </cell>
          <cell r="K17">
            <v>0</v>
          </cell>
          <cell r="L17">
            <v>2.0900807531200067E-2</v>
          </cell>
          <cell r="M17">
            <v>3.2653061224489799E-2</v>
          </cell>
        </row>
        <row r="18">
          <cell r="A18" t="str">
            <v>Political Science</v>
          </cell>
          <cell r="B18" t="str">
            <v>CAS</v>
          </cell>
          <cell r="C18">
            <v>493</v>
          </cell>
          <cell r="D18">
            <v>2.5677884389257319E-2</v>
          </cell>
          <cell r="E18">
            <v>3.1724007671296565E-2</v>
          </cell>
          <cell r="F18">
            <v>0</v>
          </cell>
          <cell r="G18">
            <v>2.9107352313926214E-2</v>
          </cell>
          <cell r="H18">
            <v>0</v>
          </cell>
          <cell r="I18">
            <v>0</v>
          </cell>
          <cell r="J18">
            <v>6.9983014998077159E-2</v>
          </cell>
          <cell r="K18">
            <v>0</v>
          </cell>
          <cell r="L18">
            <v>1.1529990931467808E-2</v>
          </cell>
          <cell r="M18">
            <v>3.2653061224489799E-2</v>
          </cell>
        </row>
        <row r="19">
          <cell r="A19" t="str">
            <v>Psychology</v>
          </cell>
          <cell r="B19" t="str">
            <v>CAS</v>
          </cell>
          <cell r="C19">
            <v>1566</v>
          </cell>
          <cell r="D19">
            <v>7.6145877428154846E-2</v>
          </cell>
          <cell r="E19">
            <v>9.4082350206311394E-2</v>
          </cell>
          <cell r="F19">
            <v>0</v>
          </cell>
          <cell r="G19">
            <v>8.63157123053956E-2</v>
          </cell>
          <cell r="H19">
            <v>0</v>
          </cell>
          <cell r="I19">
            <v>0</v>
          </cell>
          <cell r="J19">
            <v>0.20752948339956415</v>
          </cell>
          <cell r="K19">
            <v>0</v>
          </cell>
          <cell r="L19">
            <v>3.9307768709245572E-2</v>
          </cell>
          <cell r="M19">
            <v>3.2653061224489799E-2</v>
          </cell>
        </row>
        <row r="20">
          <cell r="A20" t="str">
            <v>Religious Studies</v>
          </cell>
          <cell r="B20" t="str">
            <v>CAS</v>
          </cell>
          <cell r="C20">
            <v>15</v>
          </cell>
          <cell r="D20">
            <v>3.1954047316683125E-3</v>
          </cell>
          <cell r="E20">
            <v>3.9446155634334859E-3</v>
          </cell>
          <cell r="F20">
            <v>0</v>
          </cell>
          <cell r="G20">
            <v>3.6221742375773082E-3</v>
          </cell>
          <cell r="H20">
            <v>0</v>
          </cell>
          <cell r="I20">
            <v>0</v>
          </cell>
          <cell r="J20">
            <v>8.708819382130497E-3</v>
          </cell>
          <cell r="K20">
            <v>0</v>
          </cell>
          <cell r="L20">
            <v>2.1235479552619077E-2</v>
          </cell>
          <cell r="M20">
            <v>3.2653061224489799E-2</v>
          </cell>
        </row>
        <row r="21">
          <cell r="A21" t="str">
            <v>Sociology</v>
          </cell>
          <cell r="B21" t="str">
            <v>CAS</v>
          </cell>
          <cell r="C21">
            <v>335</v>
          </cell>
          <cell r="D21">
            <v>1.8246437138422458E-2</v>
          </cell>
          <cell r="E21">
            <v>2.2541698146103326E-2</v>
          </cell>
          <cell r="F21">
            <v>0</v>
          </cell>
          <cell r="G21">
            <v>2.0683381317978245E-2</v>
          </cell>
          <cell r="H21">
            <v>0</v>
          </cell>
          <cell r="I21">
            <v>0</v>
          </cell>
          <cell r="J21">
            <v>4.9729201384437885E-2</v>
          </cell>
          <cell r="K21">
            <v>0</v>
          </cell>
          <cell r="L21">
            <v>1.2534006995724838E-2</v>
          </cell>
          <cell r="M21">
            <v>3.2653061224489799E-2</v>
          </cell>
        </row>
        <row r="22">
          <cell r="A22" t="str">
            <v>Teacher Education</v>
          </cell>
          <cell r="B22" t="str">
            <v>CAS</v>
          </cell>
          <cell r="C22">
            <v>43</v>
          </cell>
          <cell r="D22">
            <v>4.5123700672593005E-3</v>
          </cell>
          <cell r="E22">
            <v>3.0728773173708374E-3</v>
          </cell>
          <cell r="F22">
            <v>0</v>
          </cell>
          <cell r="G22">
            <v>2.2925997014288761E-3</v>
          </cell>
          <cell r="H22">
            <v>0</v>
          </cell>
          <cell r="I22">
            <v>0</v>
          </cell>
          <cell r="J22">
            <v>1.2298102807332394E-2</v>
          </cell>
          <cell r="K22">
            <v>2.7759845061329891E-2</v>
          </cell>
          <cell r="L22">
            <v>4.5018784816686095E-3</v>
          </cell>
          <cell r="M22">
            <v>3.2653061224489799E-2</v>
          </cell>
        </row>
        <row r="23">
          <cell r="A23" t="str">
            <v>Communication</v>
          </cell>
          <cell r="B23" t="str">
            <v>CMM</v>
          </cell>
          <cell r="C23">
            <v>1581</v>
          </cell>
          <cell r="D23">
            <v>6.2493410469874389E-2</v>
          </cell>
          <cell r="E23">
            <v>7.7216969837856683E-2</v>
          </cell>
          <cell r="F23">
            <v>0</v>
          </cell>
          <cell r="G23">
            <v>7.0839859245041603E-2</v>
          </cell>
          <cell r="H23">
            <v>0.19337394847911538</v>
          </cell>
          <cell r="I23">
            <v>0</v>
          </cell>
          <cell r="J23">
            <v>0</v>
          </cell>
          <cell r="K23">
            <v>0</v>
          </cell>
          <cell r="L23">
            <v>4.7674569244720813E-2</v>
          </cell>
          <cell r="M23">
            <v>4.6117188208616766E-2</v>
          </cell>
        </row>
        <row r="24">
          <cell r="A24" t="str">
            <v>Design</v>
          </cell>
          <cell r="B24" t="str">
            <v>CMM</v>
          </cell>
          <cell r="C24">
            <v>398</v>
          </cell>
          <cell r="D24">
            <v>1.871972155590048E-2</v>
          </cell>
          <cell r="E24">
            <v>2.3130121462195619E-2</v>
          </cell>
          <cell r="F24">
            <v>0</v>
          </cell>
          <cell r="G24">
            <v>2.1219876306248671E-2</v>
          </cell>
          <cell r="H24">
            <v>5.7924610682578953E-2</v>
          </cell>
          <cell r="I24">
            <v>0</v>
          </cell>
          <cell r="J24">
            <v>0</v>
          </cell>
          <cell r="K24">
            <v>0</v>
          </cell>
          <cell r="L24">
            <v>1.5880727209914926E-2</v>
          </cell>
          <cell r="M24">
            <v>5.4875283446712018E-2</v>
          </cell>
        </row>
        <row r="25">
          <cell r="A25" t="str">
            <v>Music</v>
          </cell>
          <cell r="B25" t="str">
            <v>CMM</v>
          </cell>
          <cell r="C25">
            <v>2076</v>
          </cell>
          <cell r="D25">
            <v>9.7643572738817547E-2</v>
          </cell>
          <cell r="E25">
            <v>0.1104201778346022</v>
          </cell>
          <cell r="F25">
            <v>0</v>
          </cell>
          <cell r="G25">
            <v>0.11068458093410111</v>
          </cell>
          <cell r="H25">
            <v>0.30213942657546211</v>
          </cell>
          <cell r="I25">
            <v>0</v>
          </cell>
          <cell r="J25">
            <v>0</v>
          </cell>
          <cell r="K25">
            <v>0.1136216914138154</v>
          </cell>
          <cell r="L25">
            <v>0.17016452908407831</v>
          </cell>
          <cell r="M25">
            <v>5.4875283446712018E-2</v>
          </cell>
        </row>
        <row r="26">
          <cell r="A26" t="str">
            <v>Music Industry</v>
          </cell>
          <cell r="B26" t="str">
            <v>CMM</v>
          </cell>
          <cell r="C26">
            <v>2065</v>
          </cell>
          <cell r="D26">
            <v>9.7126193499835381E-2</v>
          </cell>
          <cell r="E26">
            <v>0.1200092985412913</v>
          </cell>
          <cell r="F26">
            <v>0</v>
          </cell>
          <cell r="G26">
            <v>0.1100981019407123</v>
          </cell>
          <cell r="H26">
            <v>0.30053849512443598</v>
          </cell>
          <cell r="I26">
            <v>0</v>
          </cell>
          <cell r="J26">
            <v>0</v>
          </cell>
          <cell r="K26">
            <v>0</v>
          </cell>
          <cell r="L26">
            <v>7.3778986915403549E-2</v>
          </cell>
          <cell r="M26">
            <v>5.4875283446712018E-2</v>
          </cell>
        </row>
        <row r="27">
          <cell r="A27" t="str">
            <v>Studio Art</v>
          </cell>
          <cell r="B27" t="str">
            <v>CMM</v>
          </cell>
          <cell r="C27">
            <v>178</v>
          </cell>
          <cell r="D27">
            <v>8.3721367762569967E-3</v>
          </cell>
          <cell r="E27">
            <v>1.0344627186610099E-2</v>
          </cell>
          <cell r="F27">
            <v>0</v>
          </cell>
          <cell r="G27">
            <v>9.4902964384730223E-3</v>
          </cell>
          <cell r="H27">
            <v>2.590598166205792E-2</v>
          </cell>
          <cell r="I27">
            <v>0</v>
          </cell>
          <cell r="J27">
            <v>0</v>
          </cell>
          <cell r="K27">
            <v>0</v>
          </cell>
          <cell r="L27">
            <v>1.7219415295590967E-2</v>
          </cell>
          <cell r="M27">
            <v>5.4875283446712018E-2</v>
          </cell>
        </row>
        <row r="28">
          <cell r="A28" t="str">
            <v>Theatre</v>
          </cell>
          <cell r="B28" t="str">
            <v>CMM</v>
          </cell>
          <cell r="C28">
            <v>573</v>
          </cell>
          <cell r="D28">
            <v>2.695075490334415E-2</v>
          </cell>
          <cell r="E28">
            <v>3.3300400999593187E-2</v>
          </cell>
          <cell r="F28">
            <v>0</v>
          </cell>
          <cell r="G28">
            <v>3.0550223928342932E-2</v>
          </cell>
          <cell r="H28">
            <v>8.3393974676175223E-2</v>
          </cell>
          <cell r="I28">
            <v>0</v>
          </cell>
          <cell r="J28">
            <v>0</v>
          </cell>
          <cell r="K28">
            <v>0</v>
          </cell>
          <cell r="L28">
            <v>2.0566135509781057E-2</v>
          </cell>
          <cell r="M28">
            <v>5.4875283446712018E-2</v>
          </cell>
        </row>
        <row r="29">
          <cell r="A29" t="str">
            <v>Counseling</v>
          </cell>
          <cell r="B29" t="str">
            <v>CNH</v>
          </cell>
          <cell r="C29">
            <v>248</v>
          </cell>
          <cell r="D29">
            <v>1.166455011523447E-2</v>
          </cell>
          <cell r="E29">
            <v>0</v>
          </cell>
          <cell r="F29">
            <v>0</v>
          </cell>
          <cell r="G29">
            <v>1.3222435487310729E-2</v>
          </cell>
          <cell r="H29">
            <v>0</v>
          </cell>
          <cell r="I29">
            <v>0</v>
          </cell>
          <cell r="J29">
            <v>0</v>
          </cell>
          <cell r="K29">
            <v>0.16010329244673979</v>
          </cell>
          <cell r="L29">
            <v>1.5880727209914926E-2</v>
          </cell>
          <cell r="M29">
            <v>0</v>
          </cell>
        </row>
        <row r="30">
          <cell r="A30" t="str">
            <v>LIM</v>
          </cell>
          <cell r="B30" t="str">
            <v>CNH</v>
          </cell>
          <cell r="C30">
            <v>195</v>
          </cell>
          <cell r="D30">
            <v>9.1717228728658111E-3</v>
          </cell>
          <cell r="E30">
            <v>1.627244725983611E-3</v>
          </cell>
          <cell r="F30">
            <v>0</v>
          </cell>
          <cell r="G30">
            <v>1.0396673064619321E-2</v>
          </cell>
          <cell r="H30">
            <v>0</v>
          </cell>
          <cell r="I30">
            <v>0</v>
          </cell>
          <cell r="J30">
            <v>0</v>
          </cell>
          <cell r="K30">
            <v>0.1078114912846998</v>
          </cell>
          <cell r="L30">
            <v>1.9896791466943037E-2</v>
          </cell>
          <cell r="M30">
            <v>0</v>
          </cell>
        </row>
        <row r="31">
          <cell r="A31" t="str">
            <v>Nursing</v>
          </cell>
          <cell r="B31" t="str">
            <v>CNH</v>
          </cell>
          <cell r="C31">
            <v>708</v>
          </cell>
          <cell r="D31">
            <v>3.3300409199943558E-2</v>
          </cell>
          <cell r="E31">
            <v>5.1141977102342074E-3</v>
          </cell>
          <cell r="F31">
            <v>0</v>
          </cell>
          <cell r="G31">
            <v>3.7747920665387083E-2</v>
          </cell>
          <cell r="H31">
            <v>0</v>
          </cell>
          <cell r="I31">
            <v>0</v>
          </cell>
          <cell r="J31">
            <v>0</v>
          </cell>
          <cell r="K31">
            <v>0.40025823111684961</v>
          </cell>
          <cell r="L31">
            <v>4.2319816902016666E-2</v>
          </cell>
          <cell r="M31">
            <v>0</v>
          </cell>
        </row>
        <row r="32">
          <cell r="A32" t="str">
            <v>Law</v>
          </cell>
          <cell r="B32" t="str">
            <v>LAW</v>
          </cell>
          <cell r="C32">
            <v>2505</v>
          </cell>
          <cell r="D32">
            <v>0.1178213630591223</v>
          </cell>
          <cell r="E32">
            <v>0</v>
          </cell>
          <cell r="F32">
            <v>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0.1002180766075053</v>
          </cell>
          <cell r="M32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Accounting</v>
          </cell>
        </row>
      </sheetData>
      <sheetData sheetId="10" refreshError="1"/>
      <sheetData sheetId="1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41.478998032406" createdVersion="6" refreshedVersion="6" minRefreshableVersion="3" recordCount="224" xr:uid="{C9F53CD2-6833-F340-91F1-F0D71282CDAC}">
  <cacheSource type="worksheet">
    <worksheetSource ref="A1:I225" sheet="F19 Indirect Allocations (2)"/>
  </cacheSource>
  <cacheFields count="9">
    <cacheField name="Account" numFmtId="0">
      <sharedItems containsMixedTypes="1" containsNumber="1" containsInteger="1" minValue="123565" maxValue="319736"/>
    </cacheField>
    <cacheField name="Funct" numFmtId="0">
      <sharedItems containsString="0" containsBlank="1" containsNumber="1" containsInteger="1" minValue="1" maxValue="12"/>
    </cacheField>
    <cacheField name="Func Class" numFmtId="0">
      <sharedItems containsBlank="1"/>
    </cacheField>
    <cacheField name="Department Name" numFmtId="0">
      <sharedItems/>
    </cacheField>
    <cacheField name="College" numFmtId="0">
      <sharedItems/>
    </cacheField>
    <cacheField name="Program" numFmtId="0">
      <sharedItems containsBlank="1"/>
    </cacheField>
    <cacheField name="Note" numFmtId="0">
      <sharedItems containsBlank="1"/>
    </cacheField>
    <cacheField name="Allocated to" numFmtId="0">
      <sharedItems containsMixedTypes="1" containsNumber="1" containsInteger="1" minValue="0" maxValue="0" count="41">
        <s v="Students"/>
        <s v="Undergraduates"/>
        <n v="0"/>
        <s v="CAS Direct"/>
        <s v="Excluded Auxillary Direct Expense"/>
        <s v="Summer"/>
        <s v="Physics"/>
        <s v="Religious Studies"/>
        <s v="Biology"/>
        <s v="Classics"/>
        <s v="Chemistry"/>
        <s v="Languages"/>
        <s v="Teacher Education"/>
        <s v="English"/>
        <s v="Math"/>
        <s v="History"/>
        <s v="Philosophy"/>
        <s v="Psychology"/>
        <s v="Sociology"/>
        <s v="LIM"/>
        <s v="Nursing"/>
        <s v="Communication"/>
        <s v="Political Science"/>
        <s v="Counseling"/>
        <s v="Criminal Justice"/>
        <s v="BUS Direct"/>
        <s v="Design"/>
        <s v="Music"/>
        <s v="Theatre"/>
        <s v="Studio Art"/>
        <s v="Music Industry"/>
        <s v="Law Direct"/>
        <s v="Faculty"/>
        <s v="No Law"/>
        <s v="CAS"/>
        <s v="Business"/>
        <s v="CMM"/>
        <s v="Law Indirect"/>
        <s v="Graduates Non-Law"/>
        <s v="Excluded (covered in Discount)"/>
        <s v="Magis New"/>
      </sharedItems>
    </cacheField>
    <cacheField name="TOTAL" numFmtId="164">
      <sharedItems containsSemiMixedTypes="0" containsString="0" containsNumber="1" minValue="-168.9" maxValue="64788699.72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n v="123565"/>
    <n v="1"/>
    <s v="IN"/>
    <s v="Prof &amp; Continuing Studies"/>
    <s v="IC"/>
    <m/>
    <m/>
    <x v="0"/>
    <n v="20045.124475353117"/>
  </r>
  <r>
    <n v="211205"/>
    <n v="1"/>
    <s v="IN"/>
    <s v="Honors "/>
    <s v="IC"/>
    <m/>
    <m/>
    <x v="1"/>
    <n v="173906.5358476782"/>
  </r>
  <r>
    <n v="211206"/>
    <n v="1"/>
    <s v="IN"/>
    <s v="National Fellow"/>
    <s v="IC"/>
    <m/>
    <m/>
    <x v="2"/>
    <n v="0"/>
  </r>
  <r>
    <n v="211210"/>
    <n v="1"/>
    <s v="IN"/>
    <s v="African &amp; A.A. Studies"/>
    <s v="CAS"/>
    <s v="Interdisciplinary CAS"/>
    <s v="Zero dollar account, belongs to Deans office not to a department because interdisciplinary program"/>
    <x v="3"/>
    <n v="473.24"/>
  </r>
  <r>
    <n v="211211"/>
    <n v="1"/>
    <s v="IN"/>
    <s v="American Studies"/>
    <s v="CAS"/>
    <s v="Interdisciplinary CAS"/>
    <s v="Zero dollar account, belongs to Deans office not to a department because interdisciplinary program"/>
    <x v="2"/>
    <n v="0"/>
  </r>
  <r>
    <n v="211212"/>
    <n v="1"/>
    <s v="IN"/>
    <s v="Film Studies"/>
    <s v="CAS"/>
    <s v="Interdisciplinary CAS"/>
    <s v="Zero dollar account, belongs to Deans office not to a department because interdisciplinary program"/>
    <x v="2"/>
    <n v="0"/>
  </r>
  <r>
    <n v="211213"/>
    <n v="1"/>
    <s v="IN"/>
    <s v="Legal Studies"/>
    <s v="CAS"/>
    <s v="Interdisciplinary CAS"/>
    <s v="Zero dollar account, belongs to Deans office not to a department because interdisciplinary program"/>
    <x v="2"/>
    <n v="0"/>
  </r>
  <r>
    <n v="211214"/>
    <n v="1"/>
    <s v="IN"/>
    <s v="Mid East Peace Studies"/>
    <s v="CAS"/>
    <s v="Interdisciplinary CAS"/>
    <s v="Belongs to Deans office not to a department because interdisciplinary program"/>
    <x v="3"/>
    <n v="510.39"/>
  </r>
  <r>
    <n v="211215"/>
    <n v="1"/>
    <s v="IN"/>
    <s v="Asian Studies"/>
    <s v="CAS"/>
    <s v="Interdisciplinary CAS"/>
    <s v="Zero dollar account, belongs to Deans office not to a department because interdisciplinary program"/>
    <x v="2"/>
    <n v="0"/>
  </r>
  <r>
    <n v="211216"/>
    <n v="1"/>
    <s v="IN"/>
    <s v="Catholic Studies"/>
    <s v="CAS"/>
    <s v="Interdisciplinary CAS"/>
    <s v="Zero dollar account, belongs to Deans office not to a department because interdisciplinary program"/>
    <x v="2"/>
    <n v="0"/>
  </r>
  <r>
    <n v="211217"/>
    <n v="1"/>
    <s v="IN"/>
    <s v="Computational Studies"/>
    <s v="CAS"/>
    <s v="Interdisciplinary CAS"/>
    <s v="Zero dollar account, belongs to Deans office not to a department because interdisciplinary program"/>
    <x v="2"/>
    <n v="0"/>
  </r>
  <r>
    <n v="211218"/>
    <n v="1"/>
    <s v="IN"/>
    <s v="New Orleans Studies"/>
    <s v="CAS"/>
    <s v="Interdisciplinary CAS"/>
    <s v="Zero dollar account, belongs to Deans office not to a department because interdisciplinary program"/>
    <x v="2"/>
    <n v="0"/>
  </r>
  <r>
    <n v="211219"/>
    <n v="1"/>
    <s v="IN"/>
    <s v="Women's Studies"/>
    <s v="CAS"/>
    <s v="Interdisciplinary CAS"/>
    <s v="Belongs to Deans office not to a department because interdisciplinary program"/>
    <x v="3"/>
    <n v="3136"/>
  </r>
  <r>
    <n v="211220"/>
    <n v="1"/>
    <s v="IN"/>
    <s v="Latin American Studies"/>
    <s v="CAS"/>
    <s v="Interdisciplinary CAS"/>
    <s v="Belongs to Deans office not to a department because interdisciplinary program"/>
    <x v="3"/>
    <n v="1306.72"/>
  </r>
  <r>
    <n v="211225"/>
    <n v="1"/>
    <s v="IN"/>
    <s v="Latin Caribbean"/>
    <s v="CAS"/>
    <s v="Interdisciplinary CAS"/>
    <s v="Belongs to Deans office not to a department because interdisciplinary program"/>
    <x v="2"/>
    <n v="0"/>
  </r>
  <r>
    <n v="211230"/>
    <n v="1"/>
    <s v="IN"/>
    <s v="Medieval Studies"/>
    <s v="CAS"/>
    <s v="Interdisciplinary CAS"/>
    <s v="Belongs to Deans office not to a department because interdisciplinary program"/>
    <x v="2"/>
    <n v="0"/>
  </r>
  <r>
    <n v="211235"/>
    <n v="1"/>
    <s v="IN"/>
    <s v="Intensive English"/>
    <s v="AUX"/>
    <s v="NA"/>
    <s v="Auxillary Enterprise- Loyola Intensive English Program"/>
    <x v="4"/>
    <n v="176953.68077159475"/>
  </r>
  <r>
    <n v="211240"/>
    <n v="1"/>
    <s v="IN"/>
    <s v="Center for Study of New Orleans"/>
    <s v="IC"/>
    <m/>
    <m/>
    <x v="2"/>
    <n v="0"/>
  </r>
  <r>
    <n v="211281"/>
    <n v="1"/>
    <s v="IN"/>
    <s v="Summer Instructional"/>
    <s v="Summer"/>
    <s v="NA"/>
    <s v="Summer"/>
    <x v="5"/>
    <n v="797760.41899999999"/>
  </r>
  <r>
    <n v="211301"/>
    <n v="1"/>
    <s v="IN"/>
    <s v="Food Studies"/>
    <s v="CAS"/>
    <s v="Interdisciplinary CAS"/>
    <s v="Belongs to Deans office not to a department because interdisciplinary program"/>
    <x v="3"/>
    <n v="5171.8547955348622"/>
  </r>
  <r>
    <n v="211302"/>
    <n v="1"/>
    <s v="IN"/>
    <s v="Physics"/>
    <s v="CAS"/>
    <s v="Physics"/>
    <m/>
    <x v="6"/>
    <n v="405298.67247664661"/>
  </r>
  <r>
    <n v="211305"/>
    <n v="1"/>
    <s v="IN"/>
    <s v="Honors "/>
    <s v="IC"/>
    <s v="NA"/>
    <s v="Should be tagged to undergraduates"/>
    <x v="1"/>
    <n v="49352.052726485665"/>
  </r>
  <r>
    <n v="211306"/>
    <n v="1"/>
    <s v="IN"/>
    <s v="Environmental Studies"/>
    <s v="CAS"/>
    <s v="Interdisciplinary CAS"/>
    <m/>
    <x v="3"/>
    <n v="91850.931524092652"/>
  </r>
  <r>
    <n v="211307"/>
    <n v="1"/>
    <s v="IN"/>
    <s v="Religious Studies"/>
    <s v="CAS"/>
    <s v="Religious Studies"/>
    <m/>
    <x v="7"/>
    <n v="753147.91646821122"/>
  </r>
  <r>
    <n v="211309"/>
    <n v="1"/>
    <s v="IN"/>
    <s v="Biology"/>
    <s v="CAS"/>
    <s v="Biology"/>
    <m/>
    <x v="8"/>
    <n v="1085154.1090701092"/>
  </r>
  <r>
    <n v="211310"/>
    <n v="1"/>
    <s v="IN"/>
    <s v="Classics"/>
    <s v="CAS"/>
    <s v="Languages and Cultures"/>
    <m/>
    <x v="9"/>
    <n v="15352.330960545238"/>
  </r>
  <r>
    <n v="211311"/>
    <n v="1"/>
    <s v="IN"/>
    <s v="Chemistry/Biochem"/>
    <s v="CAS"/>
    <s v="Chemistry"/>
    <m/>
    <x v="10"/>
    <n v="737511.72447005089"/>
  </r>
  <r>
    <n v="211313"/>
    <n v="1"/>
    <s v="IN"/>
    <s v="Languages"/>
    <s v="CAS"/>
    <s v="Languages and Cultures"/>
    <m/>
    <x v="11"/>
    <n v="599122.3817431943"/>
  </r>
  <r>
    <n v="211314"/>
    <n v="1"/>
    <s v="IN"/>
    <s v="Language Lab"/>
    <s v="NA"/>
    <s v="NA"/>
    <s v="Replaced by Student Success Center, Dead account"/>
    <x v="2"/>
    <n v="0"/>
  </r>
  <r>
    <n v="211315"/>
    <n v="1"/>
    <s v="IN"/>
    <s v="Teacher Education"/>
    <s v="CAS"/>
    <s v="Interdisciplinary CAS"/>
    <m/>
    <x v="12"/>
    <n v="12945.229591069725"/>
  </r>
  <r>
    <n v="211319"/>
    <n v="1"/>
    <s v="IN"/>
    <s v="English"/>
    <s v="CAS"/>
    <s v="English"/>
    <m/>
    <x v="13"/>
    <n v="1124268.4891454601"/>
  </r>
  <r>
    <n v="211320"/>
    <n v="1"/>
    <s v="IN"/>
    <s v="Writing Lab"/>
    <s v="NA"/>
    <s v="NA"/>
    <s v="Replaced by Student Success Center, Dead account"/>
    <x v="2"/>
    <n v="0"/>
  </r>
  <r>
    <n v="211321"/>
    <n v="1"/>
    <s v="IN"/>
    <s v="Writing Across Curriculum"/>
    <s v="NA"/>
    <s v="NA"/>
    <s v="Replaced by Student Success Center, Dead account"/>
    <x v="2"/>
    <n v="0"/>
  </r>
  <r>
    <n v="211325"/>
    <n v="1"/>
    <s v="IN"/>
    <s v="Math"/>
    <s v="CAS"/>
    <s v="Math"/>
    <m/>
    <x v="14"/>
    <n v="747321.56990285963"/>
  </r>
  <r>
    <n v="211334"/>
    <n v="1"/>
    <s v="IN"/>
    <s v="Math Center"/>
    <s v="NA"/>
    <s v="NA"/>
    <s v="Replaced by Student Success Center, Dead account"/>
    <x v="2"/>
    <n v="0"/>
  </r>
  <r>
    <n v="211335"/>
    <n v="4"/>
    <s v="AS"/>
    <s v="Walker Percy Writing"/>
    <s v="CAS"/>
    <s v="Interdisciplinary CAS"/>
    <s v="Zero dollar account, belongs to Deans office not to a department because interdisciplinary program"/>
    <x v="2"/>
    <n v="0"/>
  </r>
  <r>
    <n v="211350"/>
    <n v="1"/>
    <s v="IN"/>
    <s v="History"/>
    <s v="CAS"/>
    <s v="History"/>
    <m/>
    <x v="15"/>
    <n v="882735.4580111953"/>
  </r>
  <r>
    <n v="211356"/>
    <n v="1"/>
    <s v="IN"/>
    <s v="Philosophy"/>
    <s v="CAS"/>
    <s v="Philosophy"/>
    <m/>
    <x v="16"/>
    <n v="926649.79083866044"/>
  </r>
  <r>
    <n v="211359"/>
    <n v="1"/>
    <s v="IN"/>
    <s v="Psychology"/>
    <s v="CAS"/>
    <s v="Psychology"/>
    <m/>
    <x v="17"/>
    <n v="726180.72609104274"/>
  </r>
  <r>
    <n v="211362"/>
    <n v="1"/>
    <s v="IN"/>
    <s v="Sociology"/>
    <s v="CAS"/>
    <s v="Sociology"/>
    <m/>
    <x v="18"/>
    <n v="450295.44619055244"/>
  </r>
  <r>
    <n v="211366"/>
    <n v="1"/>
    <s v="IN"/>
    <s v="LIM"/>
    <s v="CNH"/>
    <s v="LIM"/>
    <m/>
    <x v="19"/>
    <n v="455874.25279219379"/>
  </r>
  <r>
    <n v="211367"/>
    <n v="1"/>
    <s v="IN"/>
    <s v="LIM Online"/>
    <s v="CNH"/>
    <s v="LIM"/>
    <m/>
    <x v="2"/>
    <n v="0"/>
  </r>
  <r>
    <n v="211371"/>
    <n v="1"/>
    <s v="IN"/>
    <s v="HCSM Online"/>
    <s v="CNH"/>
    <s v="Nursing"/>
    <m/>
    <x v="20"/>
    <n v="53154.72148230212"/>
  </r>
  <r>
    <n v="211372"/>
    <n v="1"/>
    <s v="IN"/>
    <s v="DNP Prog"/>
    <s v="CNH"/>
    <s v="Nursing"/>
    <m/>
    <x v="20"/>
    <n v="41430.949117069606"/>
  </r>
  <r>
    <n v="211373"/>
    <n v="1"/>
    <s v="IN"/>
    <s v="Nursing - BSN EXT"/>
    <s v="CNH"/>
    <s v="Nursing"/>
    <m/>
    <x v="20"/>
    <n v="3000"/>
  </r>
  <r>
    <n v="211374"/>
    <n v="1"/>
    <s v="IN"/>
    <s v="Nursing "/>
    <s v="CNH"/>
    <s v="Nursing"/>
    <m/>
    <x v="20"/>
    <n v="1771018.2558951117"/>
  </r>
  <r>
    <n v="211375"/>
    <n v="1"/>
    <s v="IN"/>
    <s v="Mass Communication"/>
    <s v="CMM"/>
    <s v="Communications"/>
    <m/>
    <x v="21"/>
    <n v="906621.16904616472"/>
  </r>
  <r>
    <n v="211376"/>
    <n v="1"/>
    <s v="IN"/>
    <s v="Nurse Educator"/>
    <s v="CNH"/>
    <s v="Nursing"/>
    <m/>
    <x v="20"/>
    <n v="2795.1246236046445"/>
  </r>
  <r>
    <n v="211378"/>
    <n v="1"/>
    <s v="IN"/>
    <s v="Nurse Practitioner"/>
    <s v="CNH"/>
    <s v="Nursing"/>
    <m/>
    <x v="20"/>
    <n v="39201.953118023222"/>
  </r>
  <r>
    <n v="211379"/>
    <n v="1"/>
    <s v="IN"/>
    <s v="Nurse BSN to DNP"/>
    <s v="CNH"/>
    <s v="Nursing"/>
    <m/>
    <x v="20"/>
    <n v="44664.572644023108"/>
  </r>
  <r>
    <n v="211381"/>
    <n v="1"/>
    <s v="IN"/>
    <s v="Political Science"/>
    <s v="CAS"/>
    <s v="Political Science"/>
    <m/>
    <x v="22"/>
    <n v="537922.7321808358"/>
  </r>
  <r>
    <n v="211382"/>
    <n v="1"/>
    <s v="IN"/>
    <s v="Environmental Communication"/>
    <s v="CMM"/>
    <s v="Mass Communication"/>
    <m/>
    <x v="21"/>
    <n v="99523.554794176234"/>
  </r>
  <r>
    <n v="211383"/>
    <n v="1"/>
    <s v="IN"/>
    <s v="Counseling"/>
    <s v="CNH"/>
    <s v="Counseling"/>
    <m/>
    <x v="23"/>
    <n v="489769.469763931"/>
  </r>
  <r>
    <n v="211391"/>
    <n v="1"/>
    <s v="IN"/>
    <s v="Criminal Justice"/>
    <s v="CAS"/>
    <s v="Criminal Justice"/>
    <m/>
    <x v="24"/>
    <n v="484258.76469855488"/>
  </r>
  <r>
    <n v="211392"/>
    <n v="1"/>
    <s v="IN"/>
    <s v="Mast Crim Justice on line"/>
    <s v="CAS"/>
    <s v="Criminal Justice"/>
    <m/>
    <x v="24"/>
    <n v="7757.7821933022933"/>
  </r>
  <r>
    <n v="211402"/>
    <n v="1"/>
    <s v="IN"/>
    <s v="Business Instructional"/>
    <s v="COB"/>
    <m/>
    <s v="This is multiple programs we may need to discuss Accounting, Decision Science, Entreprenuership, International Business, Management, and Marketing"/>
    <x v="25"/>
    <n v="2968048.1063718251"/>
  </r>
  <r>
    <n v="211410"/>
    <n v="1"/>
    <s v="IN"/>
    <s v="Business Exec Program"/>
    <s v="COB"/>
    <m/>
    <m/>
    <x v="2"/>
    <n v="0"/>
  </r>
  <r>
    <n v="211419"/>
    <n v="1"/>
    <s v="IN"/>
    <s v="Art History"/>
    <s v="CMM"/>
    <s v="Studio Art"/>
    <m/>
    <x v="2"/>
    <n v="0"/>
  </r>
  <r>
    <n v="211420"/>
    <n v="1"/>
    <s v="IN"/>
    <s v="Graphic Design"/>
    <s v="CMM"/>
    <s v="Design"/>
    <m/>
    <x v="26"/>
    <n v="395370.92963227344"/>
  </r>
  <r>
    <n v="211421"/>
    <n v="1"/>
    <s v="IN"/>
    <s v="Opera Workshop"/>
    <s v="CMM"/>
    <s v="Music"/>
    <m/>
    <x v="27"/>
    <n v="573.24092472092889"/>
  </r>
  <r>
    <n v="211422"/>
    <n v="1"/>
    <s v="IN"/>
    <s v="Music Instructional"/>
    <s v="CMM"/>
    <s v="Music"/>
    <m/>
    <x v="27"/>
    <n v="2645200.2737844996"/>
  </r>
  <r>
    <n v="211423"/>
    <n v="1"/>
    <s v="IN"/>
    <s v="Music Education"/>
    <s v="CMM"/>
    <s v="Music"/>
    <m/>
    <x v="27"/>
    <n v="1900"/>
  </r>
  <r>
    <n v="211424"/>
    <n v="1"/>
    <s v="IN"/>
    <s v="Music Therapy"/>
    <s v="CMM"/>
    <s v="Music"/>
    <m/>
    <x v="27"/>
    <n v="3400"/>
  </r>
  <r>
    <n v="211425"/>
    <n v="1"/>
    <s v="IN"/>
    <s v="Music Keyboard"/>
    <s v="CMM"/>
    <s v="Music"/>
    <m/>
    <x v="27"/>
    <n v="1021.9722774162786"/>
  </r>
  <r>
    <n v="211426"/>
    <n v="1"/>
    <s v="IN"/>
    <s v="Music History"/>
    <s v="CMM"/>
    <s v="Music"/>
    <m/>
    <x v="27"/>
    <n v="350"/>
  </r>
  <r>
    <n v="211427"/>
    <n v="1"/>
    <s v="IN"/>
    <s v="Music Theory &amp; Comp"/>
    <s v="CMM"/>
    <s v="Music"/>
    <m/>
    <x v="27"/>
    <n v="200"/>
  </r>
  <r>
    <n v="211428"/>
    <n v="1"/>
    <s v="IN"/>
    <s v="Theatre Arts &amp; Dance"/>
    <s v="CMM"/>
    <s v="Theatre"/>
    <m/>
    <x v="28"/>
    <n v="415693.04128136527"/>
  </r>
  <r>
    <n v="211429"/>
    <n v="1"/>
    <s v="IN"/>
    <s v="Studio Art"/>
    <s v="CMM"/>
    <s v="Studio Art"/>
    <m/>
    <x v="29"/>
    <n v="295447.97127140401"/>
  </r>
  <r>
    <n v="211431"/>
    <n v="1"/>
    <s v="IN"/>
    <s v="Theatre Production"/>
    <s v="CMM"/>
    <s v="Theatre"/>
    <m/>
    <x v="28"/>
    <n v="10944.98"/>
  </r>
  <r>
    <n v="211432"/>
    <n v="1"/>
    <s v="IN"/>
    <s v="Choir"/>
    <s v="CMM"/>
    <s v="Music"/>
    <m/>
    <x v="27"/>
    <n v="3100"/>
  </r>
  <r>
    <n v="211433"/>
    <n v="1"/>
    <s v="IN"/>
    <s v="Jazz"/>
    <s v="CMM"/>
    <s v="Music"/>
    <m/>
    <x v="27"/>
    <n v="4101.7167818017615"/>
  </r>
  <r>
    <n v="211434"/>
    <n v="6"/>
    <s v="IS"/>
    <s v="Dist Univ"/>
    <s v="IC"/>
    <m/>
    <m/>
    <x v="2"/>
    <n v="0"/>
  </r>
  <r>
    <n v="211435"/>
    <n v="1"/>
    <s v="IN"/>
    <s v="Film/Music Industry"/>
    <s v="CMM"/>
    <s v="Music Industry"/>
    <m/>
    <x v="30"/>
    <n v="1390073.756403978"/>
  </r>
  <r>
    <n v="211437"/>
    <n v="1"/>
    <s v="IN"/>
    <s v="Ballet"/>
    <s v="CMM"/>
    <s v="interdisciplinary CMM"/>
    <s v="Zero dollar account, belongs to CMM Dean, Interdisciplinary"/>
    <x v="2"/>
    <n v="0"/>
  </r>
  <r>
    <n v="211438"/>
    <n v="1"/>
    <s v="IN"/>
    <s v="Band"/>
    <s v="CMM"/>
    <s v="Music"/>
    <m/>
    <x v="27"/>
    <n v="10648.96875046278"/>
  </r>
  <r>
    <n v="211439"/>
    <n v="1"/>
    <s v="IN"/>
    <s v="Orchestra"/>
    <s v="CMM"/>
    <s v="Music"/>
    <m/>
    <x v="27"/>
    <n v="3150"/>
  </r>
  <r>
    <n v="211440"/>
    <n v="1"/>
    <s v="IN"/>
    <s v="School of Music"/>
    <s v="CMM"/>
    <s v="Music"/>
    <m/>
    <x v="2"/>
    <n v="0"/>
  </r>
  <r>
    <n v="211441"/>
    <n v="1"/>
    <s v="IN"/>
    <s v="Law Instructional"/>
    <s v="Law"/>
    <s v="Law"/>
    <m/>
    <x v="31"/>
    <n v="5749918.2500723843"/>
  </r>
  <r>
    <n v="211443"/>
    <n v="1"/>
    <s v="IN"/>
    <s v="LLM"/>
    <s v="Law"/>
    <s v="Law"/>
    <m/>
    <x v="2"/>
    <n v="0"/>
  </r>
  <r>
    <n v="211445"/>
    <n v="1"/>
    <s v="IN"/>
    <s v="Law Summer Research"/>
    <s v="Law"/>
    <s v="Law"/>
    <m/>
    <x v="2"/>
    <n v="0"/>
  </r>
  <r>
    <n v="211446"/>
    <n v="1"/>
    <s v="IN"/>
    <s v="Continuing Legal Ed"/>
    <s v="Law"/>
    <s v="Law"/>
    <m/>
    <x v="31"/>
    <n v="162570.86377495373"/>
  </r>
  <r>
    <n v="211447"/>
    <n v="1"/>
    <s v="IN"/>
    <s v="Law Skills"/>
    <s v="Law"/>
    <s v="Law"/>
    <m/>
    <x v="31"/>
    <n v="7009.55"/>
  </r>
  <r>
    <n v="211477"/>
    <n v="1"/>
    <s v="IN"/>
    <s v="Nursing-Off Campus Learning"/>
    <s v="CNH"/>
    <s v="Nursing"/>
    <m/>
    <x v="2"/>
    <n v="0"/>
  </r>
  <r>
    <n v="211540"/>
    <n v="1"/>
    <s v="IN"/>
    <s v="Summer Bridge"/>
    <s v="NA"/>
    <s v="NA"/>
    <s v="Program no longer exists"/>
    <x v="2"/>
    <n v="0"/>
  </r>
  <r>
    <n v="211563"/>
    <n v="1"/>
    <s v="IN"/>
    <s v="Service Learning Center"/>
    <s v="IC"/>
    <m/>
    <m/>
    <x v="1"/>
    <n v="63074.675424977831"/>
  </r>
  <r>
    <n v="211900"/>
    <n v="1"/>
    <s v="IN"/>
    <s v="PO Liquidation"/>
    <s v="NA"/>
    <s v="NA"/>
    <s v="Not sure what this is but zero dollar account"/>
    <x v="2"/>
    <n v="0"/>
  </r>
  <r>
    <n v="212020"/>
    <n v="3"/>
    <s v="PS"/>
    <s v="Twomey Center"/>
    <s v="NA"/>
    <m/>
    <m/>
    <x v="2"/>
    <n v="0"/>
  </r>
  <r>
    <n v="212050"/>
    <n v="3"/>
    <s v="PS"/>
    <s v="Common Good"/>
    <s v="NA"/>
    <m/>
    <m/>
    <x v="2"/>
    <n v="0"/>
  </r>
  <r>
    <n v="212055"/>
    <n v="3"/>
    <s v="PS"/>
    <s v="BOGGS Literacy Center"/>
    <s v="NA"/>
    <m/>
    <m/>
    <x v="2"/>
    <n v="0"/>
  </r>
  <r>
    <n v="212200"/>
    <n v="2"/>
    <s v="RE"/>
    <s v="Grants: Course / Prof Dev"/>
    <s v="NA"/>
    <m/>
    <m/>
    <x v="2"/>
    <n v="0"/>
  </r>
  <r>
    <n v="212201"/>
    <n v="2"/>
    <s v="RE"/>
    <s v="Grants: Faculty Research"/>
    <s v="NA"/>
    <m/>
    <m/>
    <x v="2"/>
    <n v="0"/>
  </r>
  <r>
    <n v="212202"/>
    <n v="2"/>
    <s v="RE"/>
    <s v="Marquette Fellows"/>
    <s v="IC"/>
    <m/>
    <m/>
    <x v="32"/>
    <n v="11636.67328995344"/>
  </r>
  <r>
    <n v="212206"/>
    <n v="2"/>
    <s v="RE"/>
    <s v="Grants: Research Office"/>
    <s v="IC"/>
    <m/>
    <m/>
    <x v="32"/>
    <n v="7732.3111310371896"/>
  </r>
  <r>
    <n v="212404"/>
    <n v="3"/>
    <s v="PS"/>
    <s v="SBDC Local Match"/>
    <s v="NA"/>
    <m/>
    <m/>
    <x v="2"/>
    <n v="0"/>
  </r>
  <r>
    <n v="212444"/>
    <n v="3"/>
    <s v="PS"/>
    <s v="Law Clinic"/>
    <s v="Law"/>
    <s v="Law"/>
    <m/>
    <x v="31"/>
    <n v="831674.07604530989"/>
  </r>
  <r>
    <n v="212531"/>
    <n v="3"/>
    <s v="PS"/>
    <s v="Yamauchi Lecture"/>
    <s v="NA"/>
    <m/>
    <m/>
    <x v="2"/>
    <n v="0"/>
  </r>
  <r>
    <n v="212535"/>
    <n v="3"/>
    <s v="PS"/>
    <s v="Biever Guest Lecturer"/>
    <s v="NA"/>
    <m/>
    <m/>
    <x v="2"/>
    <n v="0"/>
  </r>
  <r>
    <n v="213207"/>
    <n v="4"/>
    <s v="AS"/>
    <s v="Women's Resource Center"/>
    <s v="IC"/>
    <m/>
    <m/>
    <x v="0"/>
    <n v="84249.890938810786"/>
  </r>
  <r>
    <n v="213211"/>
    <n v="4"/>
    <s v="AS"/>
    <s v="Film Buffs"/>
    <s v="CAS"/>
    <s v="Interdisciplinary CAS"/>
    <s v="Zero dollar account, belongs to Deans office not to a department because interdisciplinary program"/>
    <x v="2"/>
    <n v="0"/>
  </r>
  <r>
    <n v="213220"/>
    <n v="4"/>
    <s v="AS"/>
    <s v="Center:Faculty Innovation"/>
    <s v="NA"/>
    <m/>
    <m/>
    <x v="2"/>
    <n v="0"/>
  </r>
  <r>
    <n v="213250"/>
    <n v="4"/>
    <s v="AS"/>
    <s v="Monroe Library"/>
    <s v="IC"/>
    <m/>
    <m/>
    <x v="33"/>
    <n v="1283879.1729869219"/>
  </r>
  <r>
    <n v="213251"/>
    <n v="4"/>
    <s v="AS"/>
    <s v="Information Resources"/>
    <s v="IC"/>
    <m/>
    <m/>
    <x v="33"/>
    <n v="469291.18"/>
  </r>
  <r>
    <n v="213300"/>
    <n v="4"/>
    <s v="AS"/>
    <s v="Dean - College of Arts &amp; Sciences"/>
    <s v="IC"/>
    <m/>
    <m/>
    <x v="34"/>
    <n v="641848.72300969646"/>
  </r>
  <r>
    <n v="213360"/>
    <n v="4"/>
    <s v="AS"/>
    <s v="Dean - Social Sciences"/>
    <s v="NA"/>
    <m/>
    <m/>
    <x v="2"/>
    <n v="0"/>
  </r>
  <r>
    <n v="213400"/>
    <n v="4"/>
    <s v="AS"/>
    <s v="Dean - Business"/>
    <s v="IC"/>
    <m/>
    <m/>
    <x v="35"/>
    <n v="560519.49488356302"/>
  </r>
  <r>
    <n v="213420"/>
    <n v="4"/>
    <s v="AS"/>
    <s v="Dean - Music"/>
    <s v="IC"/>
    <m/>
    <m/>
    <x v="36"/>
    <n v="713666.6068372546"/>
  </r>
  <r>
    <n v="213440"/>
    <n v="4"/>
    <s v="AS"/>
    <s v="Dean - Law"/>
    <s v="IC"/>
    <m/>
    <m/>
    <x v="37"/>
    <n v="1027289.564068818"/>
  </r>
  <r>
    <n v="213446"/>
    <n v="4"/>
    <s v="AS"/>
    <s v="Law Instructional Resources"/>
    <s v="IC"/>
    <m/>
    <m/>
    <x v="37"/>
    <n v="51659.127289255623"/>
  </r>
  <r>
    <n v="213460"/>
    <n v="4"/>
    <s v="AS"/>
    <s v="Law Library"/>
    <s v="IC"/>
    <m/>
    <m/>
    <x v="37"/>
    <n v="1277910.6436350378"/>
  </r>
  <r>
    <n v="213463"/>
    <n v="4"/>
    <s v="AS"/>
    <s v="Trial Advocacy"/>
    <s v="IC"/>
    <m/>
    <m/>
    <x v="37"/>
    <n v="4758.7"/>
  </r>
  <r>
    <n v="213464"/>
    <n v="4"/>
    <s v="AS"/>
    <s v="Law Moot Court"/>
    <s v="IC"/>
    <m/>
    <m/>
    <x v="37"/>
    <n v="14699.01"/>
  </r>
  <r>
    <n v="213465"/>
    <n v="4"/>
    <s v="AS"/>
    <s v="Loyola Law Review"/>
    <s v="IC"/>
    <m/>
    <m/>
    <x v="37"/>
    <n v="36013.9"/>
  </r>
  <r>
    <n v="213466"/>
    <n v="4"/>
    <s v="AS"/>
    <s v="Alt Disp Resolution"/>
    <s v="IC"/>
    <m/>
    <m/>
    <x v="37"/>
    <n v="-168.9"/>
  </r>
  <r>
    <n v="213480"/>
    <n v="4"/>
    <s v="AS"/>
    <s v="Dean-Graduate/Prof"/>
    <s v="IC"/>
    <m/>
    <m/>
    <x v="38"/>
    <n v="186264.75"/>
  </r>
  <r>
    <n v="213545"/>
    <n v="4"/>
    <s v="AS"/>
    <s v="N O Review"/>
    <s v="CAS"/>
    <s v="Interdisciplinary CAS"/>
    <s v="Zero dollar account, belongs to Deans office not to a department because interdisciplinary program"/>
    <x v="2"/>
    <n v="0"/>
  </r>
  <r>
    <n v="213550"/>
    <n v="4"/>
    <s v="AS"/>
    <s v="QEP Implementation"/>
    <s v="IC"/>
    <m/>
    <m/>
    <x v="0"/>
    <n v="37870.24247209289"/>
  </r>
  <r>
    <n v="213551"/>
    <n v="4"/>
    <s v="AS"/>
    <s v="First Year Exp"/>
    <s v="IC"/>
    <m/>
    <m/>
    <x v="1"/>
    <n v="261.35000000000002"/>
  </r>
  <r>
    <n v="213552"/>
    <n v="4"/>
    <s v="AS"/>
    <s v="Common Currliculum"/>
    <s v="NA"/>
    <m/>
    <m/>
    <x v="2"/>
    <n v="0"/>
  </r>
  <r>
    <n v="213560"/>
    <n v="1"/>
    <s v="IN"/>
    <s v="Continuing Education"/>
    <s v="IC"/>
    <m/>
    <m/>
    <x v="4"/>
    <n v="1591.3983133258539"/>
  </r>
  <r>
    <n v="213600"/>
    <n v="1"/>
    <s v="IN"/>
    <s v="On-Line Program"/>
    <s v="IC"/>
    <m/>
    <m/>
    <x v="0"/>
    <n v="7880.9937446962467"/>
  </r>
  <r>
    <n v="214000"/>
    <n v="5"/>
    <s v="SS"/>
    <s v="VP Student Life"/>
    <s v="IC"/>
    <m/>
    <m/>
    <x v="0"/>
    <n v="154731.271772812"/>
  </r>
  <r>
    <n v="214080"/>
    <n v="5"/>
    <s v="SS"/>
    <s v="VP Mission &amp; Ministry"/>
    <s v="IC"/>
    <m/>
    <m/>
    <x v="0"/>
    <n v="21563.48"/>
  </r>
  <r>
    <n v="214090"/>
    <n v="5"/>
    <s v="SS"/>
    <s v="University Ministry"/>
    <s v="IC"/>
    <m/>
    <m/>
    <x v="0"/>
    <n v="339841.11858094344"/>
  </r>
  <r>
    <n v="214091"/>
    <n v="5"/>
    <s v="SS"/>
    <s v="Fac &amp; Staff Dev"/>
    <s v="IC"/>
    <m/>
    <m/>
    <x v="0"/>
    <n v="6114.04"/>
  </r>
  <r>
    <n v="214092"/>
    <n v="5"/>
    <s v="SS"/>
    <s v="Ignacio Volunteers"/>
    <s v="NA"/>
    <m/>
    <m/>
    <x v="2"/>
    <n v="0"/>
  </r>
  <r>
    <n v="214093"/>
    <n v="5"/>
    <s v="SS"/>
    <s v="M&amp;I Programs"/>
    <s v="IC"/>
    <m/>
    <m/>
    <x v="0"/>
    <n v="10403.98"/>
  </r>
  <r>
    <n v="214093"/>
    <n v="6"/>
    <s v="IS"/>
    <s v="M&amp;I Programs"/>
    <s v="NA"/>
    <m/>
    <m/>
    <x v="2"/>
    <n v="0"/>
  </r>
  <r>
    <n v="214095"/>
    <n v="5"/>
    <s v="SS"/>
    <s v="Dean Univ Ministry"/>
    <s v="NA"/>
    <m/>
    <m/>
    <x v="2"/>
    <n v="0"/>
  </r>
  <r>
    <n v="214213"/>
    <n v="5"/>
    <s v="SS"/>
    <s v="Center for Intl Culture"/>
    <s v="NA"/>
    <m/>
    <m/>
    <x v="2"/>
    <n v="0"/>
  </r>
  <r>
    <n v="214230"/>
    <n v="5"/>
    <s v="SS"/>
    <s v="Student Records"/>
    <s v="IC"/>
    <m/>
    <m/>
    <x v="33"/>
    <n v="406254.57772332861"/>
  </r>
  <r>
    <n v="214240"/>
    <n v="5"/>
    <s v="SS"/>
    <s v="Admissions"/>
    <s v="IC"/>
    <m/>
    <m/>
    <x v="33"/>
    <n v="2583108.7706264574"/>
  </r>
  <r>
    <n v="214241"/>
    <n v="5"/>
    <s v="SS"/>
    <s v="Student Success Center"/>
    <s v="IC"/>
    <m/>
    <m/>
    <x v="1"/>
    <n v="348683.08238020079"/>
  </r>
  <r>
    <n v="214255"/>
    <n v="5"/>
    <s v="SS"/>
    <s v="Student Financial Services"/>
    <s v="IC"/>
    <m/>
    <m/>
    <x v="1"/>
    <n v="897495.84895888134"/>
  </r>
  <r>
    <n v="214442"/>
    <n v="5"/>
    <s v="SS"/>
    <s v="Law Admissions"/>
    <s v="IC"/>
    <m/>
    <m/>
    <x v="37"/>
    <n v="366813.84951987315"/>
  </r>
  <r>
    <n v="214443"/>
    <n v="5"/>
    <s v="SS"/>
    <s v="Law Career Services"/>
    <s v="IC"/>
    <m/>
    <m/>
    <x v="37"/>
    <n v="321882.26608835359"/>
  </r>
  <r>
    <n v="214447"/>
    <n v="5"/>
    <s v="SS"/>
    <s v="Black Law Studies"/>
    <s v="NA"/>
    <m/>
    <m/>
    <x v="2"/>
    <n v="0"/>
  </r>
  <r>
    <n v="214530"/>
    <n v="5"/>
    <s v="SS"/>
    <s v="Center for Intl' Education"/>
    <s v="IC"/>
    <m/>
    <m/>
    <x v="0"/>
    <n v="258139.45492777805"/>
  </r>
  <r>
    <n v="214605"/>
    <n v="5"/>
    <s v="SS"/>
    <s v="Counseling Center"/>
    <s v="IC"/>
    <m/>
    <m/>
    <x v="0"/>
    <n v="299327.14498419134"/>
  </r>
  <r>
    <n v="214607"/>
    <n v="5"/>
    <s v="SS"/>
    <s v="Career Services"/>
    <s v="IC"/>
    <m/>
    <m/>
    <x v="1"/>
    <n v="75335.832879158566"/>
  </r>
  <r>
    <n v="214610"/>
    <n v="5"/>
    <s v="SS"/>
    <s v="CoCurricular Programs"/>
    <s v="IC"/>
    <m/>
    <m/>
    <x v="1"/>
    <n v="170760.60826583498"/>
  </r>
  <r>
    <n v="214665"/>
    <n v="5"/>
    <s v="SS"/>
    <s v="Health Services"/>
    <s v="IC"/>
    <m/>
    <m/>
    <x v="0"/>
    <n v="330069.45356514835"/>
  </r>
  <r>
    <n v="214726"/>
    <n v="5"/>
    <s v="SS"/>
    <s v="Shuttle Service"/>
    <s v="IC"/>
    <m/>
    <m/>
    <x v="0"/>
    <n v="7927.57"/>
  </r>
  <r>
    <n v="214750"/>
    <n v="5"/>
    <s v="SS"/>
    <s v="ID Cards"/>
    <s v="NA"/>
    <m/>
    <m/>
    <x v="2"/>
    <n v="0"/>
  </r>
  <r>
    <n v="216000"/>
    <n v="6"/>
    <s v="IS"/>
    <s v="Office of President"/>
    <s v="IC"/>
    <m/>
    <m/>
    <x v="0"/>
    <n v="1464946.1818684915"/>
  </r>
  <r>
    <n v="216002"/>
    <n v="6"/>
    <s v="IS"/>
    <s v="Pres Inauguration"/>
    <s v="IC"/>
    <m/>
    <m/>
    <x v="0"/>
    <n v="43464.683836427888"/>
  </r>
  <r>
    <n v="216004"/>
    <n v="6"/>
    <s v="IS"/>
    <s v="Adm Staff Senate"/>
    <s v="NA"/>
    <m/>
    <m/>
    <x v="2"/>
    <n v="0"/>
  </r>
  <r>
    <n v="216008"/>
    <n v="6"/>
    <s v="IS"/>
    <s v="General Counsel"/>
    <s v="IC"/>
    <m/>
    <m/>
    <x v="0"/>
    <n v="594375.40607120097"/>
  </r>
  <r>
    <n v="216009"/>
    <n v="6"/>
    <s v="IS"/>
    <s v="Diversity/Inclusion"/>
    <s v="IC"/>
    <m/>
    <m/>
    <x v="0"/>
    <n v="166370.18718905369"/>
  </r>
  <r>
    <n v="216011"/>
    <n v="6"/>
    <s v="IS"/>
    <s v="Academic Ombudsperson"/>
    <s v="IC"/>
    <m/>
    <m/>
    <x v="0"/>
    <n v="38788.910966511467"/>
  </r>
  <r>
    <n v="216020"/>
    <n v="6"/>
    <s v="IS"/>
    <s v="Searches"/>
    <s v="IC"/>
    <m/>
    <m/>
    <x v="0"/>
    <n v="371198.58"/>
  </r>
  <r>
    <n v="216025"/>
    <n v="6"/>
    <s v="IS"/>
    <s v="LAICU"/>
    <s v="IC"/>
    <m/>
    <m/>
    <x v="0"/>
    <n v="35704"/>
  </r>
  <r>
    <n v="216050"/>
    <n v="6"/>
    <s v="IS"/>
    <s v="Board of Trustees"/>
    <s v="IC"/>
    <m/>
    <m/>
    <x v="0"/>
    <n v="60082.23"/>
  </r>
  <r>
    <n v="216060"/>
    <n v="6"/>
    <s v="IS"/>
    <s v="Internal Auditor"/>
    <s v="IC"/>
    <m/>
    <m/>
    <x v="0"/>
    <n v="96288.5"/>
  </r>
  <r>
    <n v="216070"/>
    <n v="6"/>
    <s v="IS"/>
    <s v="Governmental Relations"/>
    <s v="IC"/>
    <m/>
    <m/>
    <x v="0"/>
    <n v="231147.60771451279"/>
  </r>
  <r>
    <n v="216200"/>
    <n v="6"/>
    <s v="IS"/>
    <s v="VP Academic Affairs"/>
    <s v="IC"/>
    <m/>
    <m/>
    <x v="0"/>
    <n v="1049600.283792078"/>
  </r>
  <r>
    <n v="216202"/>
    <n v="6"/>
    <s v="IS"/>
    <s v="Vice Provost"/>
    <s v="NA"/>
    <m/>
    <m/>
    <x v="2"/>
    <n v="0"/>
  </r>
  <r>
    <n v="216204"/>
    <n v="6"/>
    <s v="IS"/>
    <s v="Vice Provost #2"/>
    <s v="IC"/>
    <m/>
    <m/>
    <x v="0"/>
    <n v="43224.80941738149"/>
  </r>
  <r>
    <n v="216205"/>
    <n v="6"/>
    <s v="IS"/>
    <s v="Dist Univ"/>
    <s v="NA"/>
    <m/>
    <m/>
    <x v="2"/>
    <n v="0"/>
  </r>
  <r>
    <n v="216209"/>
    <n v="6"/>
    <s v="IS"/>
    <s v="Institutional Effectiveness"/>
    <s v="NA"/>
    <m/>
    <m/>
    <x v="2"/>
    <n v="0"/>
  </r>
  <r>
    <n v="216210"/>
    <n v="6"/>
    <s v="IS"/>
    <s v="SACS Accreditation"/>
    <s v="IC"/>
    <m/>
    <m/>
    <x v="0"/>
    <n v="64502.89"/>
  </r>
  <r>
    <n v="216211"/>
    <n v="6"/>
    <s v="IS"/>
    <s v="Diversity Committee"/>
    <s v="NA"/>
    <m/>
    <m/>
    <x v="2"/>
    <n v="0"/>
  </r>
  <r>
    <n v="216212"/>
    <n v="6"/>
    <s v="IS"/>
    <s v="Commencement"/>
    <s v="IC"/>
    <m/>
    <m/>
    <x v="0"/>
    <n v="288032.93165836093"/>
  </r>
  <r>
    <n v="216215"/>
    <n v="6"/>
    <s v="IS"/>
    <s v="University Senate"/>
    <s v="NA"/>
    <m/>
    <m/>
    <x v="2"/>
    <n v="0"/>
  </r>
  <r>
    <n v="216220"/>
    <n v="6"/>
    <s v="IS"/>
    <s v="Institutional Research"/>
    <s v="IC"/>
    <m/>
    <m/>
    <x v="0"/>
    <n v="304483.16336391872"/>
  </r>
  <r>
    <n v="216300"/>
    <n v="6"/>
    <s v="IS"/>
    <s v="Chemical Hygiene"/>
    <s v="IC"/>
    <m/>
    <m/>
    <x v="1"/>
    <n v="104736.68311749031"/>
  </r>
  <r>
    <n v="216420"/>
    <n v="6"/>
    <s v="IS"/>
    <s v="Gallery"/>
    <s v="IC"/>
    <m/>
    <m/>
    <x v="0"/>
    <n v="5153.6473289953437"/>
  </r>
  <r>
    <n v="216504"/>
    <n v="6"/>
    <s v="IS"/>
    <s v="Information Technology"/>
    <s v="IC"/>
    <m/>
    <m/>
    <x v="0"/>
    <n v="416331.51871959161"/>
  </r>
  <r>
    <n v="216505"/>
    <n v="6"/>
    <s v="IS"/>
    <s v="IT Client Services"/>
    <s v="IC"/>
    <m/>
    <m/>
    <x v="0"/>
    <n v="1006117.6484354204"/>
  </r>
  <r>
    <n v="216506"/>
    <n v="6"/>
    <s v="IS"/>
    <s v="Computer Programming"/>
    <s v="IC"/>
    <m/>
    <m/>
    <x v="0"/>
    <n v="661447.77425643674"/>
  </r>
  <r>
    <n v="216507"/>
    <n v="6"/>
    <s v="IS"/>
    <s v="Computer Operations"/>
    <s v="IC"/>
    <m/>
    <m/>
    <x v="0"/>
    <n v="258108.67205570423"/>
  </r>
  <r>
    <n v="216536"/>
    <n v="6"/>
    <s v="IS"/>
    <s v="Telecommunications "/>
    <s v="IC"/>
    <m/>
    <m/>
    <x v="0"/>
    <n v="146271.31803914285"/>
  </r>
  <r>
    <n v="216600"/>
    <n v="6"/>
    <s v="IS"/>
    <s v="VP Student Affairs"/>
    <s v="IC"/>
    <m/>
    <m/>
    <x v="0"/>
    <n v="221564.07019979018"/>
  </r>
  <r>
    <n v="216601"/>
    <n v="6"/>
    <s v="IS"/>
    <s v="Accessible Education"/>
    <s v="IC"/>
    <m/>
    <m/>
    <x v="0"/>
    <n v="182765.25069200873"/>
  </r>
  <r>
    <n v="216700"/>
    <n v="6"/>
    <s v="IS"/>
    <s v="VP Finance &amp; Adm"/>
    <s v="IC"/>
    <m/>
    <m/>
    <x v="0"/>
    <n v="137452.78357809276"/>
  </r>
  <r>
    <n v="216703"/>
    <n v="6"/>
    <s v="IS"/>
    <s v="Student Account"/>
    <s v="IC"/>
    <m/>
    <m/>
    <x v="0"/>
    <n v="193926.09053912267"/>
  </r>
  <r>
    <n v="216704"/>
    <n v="6"/>
    <s v="IS"/>
    <s v="Bursar"/>
    <s v="IC"/>
    <m/>
    <m/>
    <x v="0"/>
    <n v="404771.4282632512"/>
  </r>
  <r>
    <n v="216710"/>
    <n v="6"/>
    <s v="IS"/>
    <s v="Financial Affairs"/>
    <s v="IC"/>
    <m/>
    <m/>
    <x v="0"/>
    <n v="1228360.9352360531"/>
  </r>
  <r>
    <n v="216711"/>
    <n v="10"/>
    <s v="DS"/>
    <s v="Debt Service - E &amp; G"/>
    <s v="AUX"/>
    <m/>
    <m/>
    <x v="4"/>
    <n v="3236636.33"/>
  </r>
  <r>
    <n v="216713"/>
    <n v="6"/>
    <s v="IS"/>
    <s v="Emergency Mang"/>
    <s v="IC"/>
    <m/>
    <m/>
    <x v="0"/>
    <n v="14073.72"/>
  </r>
  <r>
    <n v="216715"/>
    <n v="6"/>
    <s v="IS"/>
    <s v="Risk Management"/>
    <s v="IC"/>
    <m/>
    <m/>
    <x v="0"/>
    <n v="2485854.804293328"/>
  </r>
  <r>
    <n v="216730"/>
    <n v="6"/>
    <s v="IS"/>
    <s v="Human Resources"/>
    <s v="IC"/>
    <m/>
    <m/>
    <x v="0"/>
    <n v="570037.84909935598"/>
  </r>
  <r>
    <n v="216734"/>
    <n v="6"/>
    <s v="IS"/>
    <s v="Purchasing"/>
    <s v="IC"/>
    <m/>
    <m/>
    <x v="0"/>
    <n v="187479.74868896167"/>
  </r>
  <r>
    <n v="216738"/>
    <n v="6"/>
    <s v="IS"/>
    <s v="University Police"/>
    <s v="IC"/>
    <m/>
    <m/>
    <x v="0"/>
    <n v="1653059.3167970066"/>
  </r>
  <r>
    <n v="216765"/>
    <n v="6"/>
    <s v="IS"/>
    <s v="Print Services"/>
    <s v="IC"/>
    <m/>
    <m/>
    <x v="0"/>
    <n v="27499.09"/>
  </r>
  <r>
    <n v="216770"/>
    <n v="6"/>
    <s v="IS"/>
    <s v="Post Office"/>
    <s v="IC"/>
    <m/>
    <m/>
    <x v="0"/>
    <n v="126849.49071456891"/>
  </r>
  <r>
    <n v="216800"/>
    <n v="6"/>
    <s v="IS"/>
    <s v="VP Institutional Adv"/>
    <s v="IC"/>
    <m/>
    <m/>
    <x v="0"/>
    <n v="407916.7030761519"/>
  </r>
  <r>
    <n v="216815"/>
    <n v="6"/>
    <s v="IS"/>
    <s v="Adv Research"/>
    <s v="NA"/>
    <m/>
    <m/>
    <x v="2"/>
    <n v="0"/>
  </r>
  <r>
    <n v="216820"/>
    <n v="6"/>
    <s v="IS"/>
    <s v="Annual Fund"/>
    <s v="NA"/>
    <m/>
    <m/>
    <x v="2"/>
    <n v="0"/>
  </r>
  <r>
    <n v="216825"/>
    <n v="6"/>
    <s v="IS"/>
    <s v="Adv. Records"/>
    <s v="IC"/>
    <m/>
    <m/>
    <x v="0"/>
    <n v="257251.84931017444"/>
  </r>
  <r>
    <n v="216830"/>
    <n v="6"/>
    <s v="IS"/>
    <s v="Planned Giving"/>
    <s v="NA"/>
    <m/>
    <m/>
    <x v="2"/>
    <n v="0"/>
  </r>
  <r>
    <n v="216840"/>
    <n v="6"/>
    <s v="IS"/>
    <s v="Public Affairs"/>
    <s v="NA"/>
    <m/>
    <m/>
    <x v="2"/>
    <n v="0"/>
  </r>
  <r>
    <n v="216845"/>
    <n v="6"/>
    <s v="IS"/>
    <s v="Centennial"/>
    <s v="NA"/>
    <m/>
    <m/>
    <x v="2"/>
    <n v="0"/>
  </r>
  <r>
    <n v="216850"/>
    <n v="6"/>
    <s v="IS"/>
    <s v="Publications &amp; Mktg"/>
    <s v="NA"/>
    <m/>
    <m/>
    <x v="2"/>
    <n v="0"/>
  </r>
  <r>
    <n v="216855"/>
    <n v="6"/>
    <s v="IS"/>
    <s v="Web Team"/>
    <s v="NA"/>
    <m/>
    <m/>
    <x v="2"/>
    <n v="0"/>
  </r>
  <r>
    <n v="216860"/>
    <n v="6"/>
    <s v="IS"/>
    <s v="Alumni"/>
    <s v="IC"/>
    <m/>
    <m/>
    <x v="0"/>
    <n v="535629.41788548371"/>
  </r>
  <r>
    <n v="216861"/>
    <n v="6"/>
    <s v="IS"/>
    <s v="Alumni-Campaign"/>
    <s v="NA"/>
    <m/>
    <m/>
    <x v="2"/>
    <n v="0"/>
  </r>
  <r>
    <n v="216880"/>
    <n v="6"/>
    <s v="IS"/>
    <s v="Development"/>
    <s v="IC"/>
    <m/>
    <m/>
    <x v="0"/>
    <n v="717772.31533518923"/>
  </r>
  <r>
    <n v="216900"/>
    <n v="6"/>
    <s v="IS"/>
    <s v="VP Marketing &amp; Communications"/>
    <s v="IC"/>
    <m/>
    <m/>
    <x v="0"/>
    <n v="877988.50631208834"/>
  </r>
  <r>
    <n v="216901"/>
    <n v="6"/>
    <s v="IS"/>
    <s v="Marketing Advertising"/>
    <s v="IC"/>
    <m/>
    <m/>
    <x v="0"/>
    <n v="5942.64"/>
  </r>
  <r>
    <n v="216999"/>
    <n v="6"/>
    <s v="IS"/>
    <s v="Capitalized Exp"/>
    <s v="NA"/>
    <m/>
    <m/>
    <x v="2"/>
    <n v="0"/>
  </r>
  <r>
    <n v="218200"/>
    <n v="9"/>
    <s v="SCH"/>
    <s v="Financial Aid"/>
    <s v="DISC"/>
    <m/>
    <m/>
    <x v="39"/>
    <n v="64788699.729999997"/>
  </r>
  <r>
    <n v="219010"/>
    <n v="1"/>
    <s v="IN"/>
    <s v="Magis-Instructional"/>
    <s v="DC"/>
    <s v="NA"/>
    <s v="These are Magis investments in new faculty positions that should be captured in the salaries in respective departments. Good to verify"/>
    <x v="40"/>
    <n v="1818281.39"/>
  </r>
  <r>
    <n v="219012"/>
    <n v="5"/>
    <s v="SS"/>
    <s v="Magis-Student Service"/>
    <s v="IC"/>
    <m/>
    <m/>
    <x v="0"/>
    <n v="660917.61"/>
  </r>
  <r>
    <n v="219013"/>
    <n v="6"/>
    <s v="IS"/>
    <s v="Magis- Inst Support"/>
    <s v="IC"/>
    <m/>
    <m/>
    <x v="0"/>
    <n v="354633.85"/>
  </r>
  <r>
    <n v="219014"/>
    <n v="11"/>
    <s v="AUX"/>
    <s v="Magis-Auxillary"/>
    <s v="AUX"/>
    <m/>
    <m/>
    <x v="4"/>
    <n v="7985.04"/>
  </r>
  <r>
    <n v="319100"/>
    <n v="11"/>
    <s v="AUX"/>
    <s v="Filming"/>
    <s v="AUX"/>
    <m/>
    <m/>
    <x v="4"/>
    <n v="19900.455798190385"/>
  </r>
  <r>
    <n v="319251"/>
    <n v="11"/>
    <s v="AUX"/>
    <s v="University Police Sales"/>
    <s v="AUX"/>
    <m/>
    <m/>
    <x v="4"/>
    <n v="20868.75"/>
  </r>
  <r>
    <n v="319400"/>
    <n v="11"/>
    <s v="AUX"/>
    <s v="Music Lessons"/>
    <s v="AUX"/>
    <m/>
    <m/>
    <x v="4"/>
    <n v="14582.857559709428"/>
  </r>
  <r>
    <n v="319401"/>
    <n v="11"/>
    <s v="AUX"/>
    <s v="Music Prep Program"/>
    <s v="AUX"/>
    <m/>
    <m/>
    <x v="4"/>
    <n v="132076.6643492085"/>
  </r>
  <r>
    <n v="319420"/>
    <n v="11"/>
    <s v="AUX"/>
    <s v="Roussell Hall"/>
    <s v="AUX"/>
    <m/>
    <m/>
    <x v="4"/>
    <n v="138497.37666266222"/>
  </r>
  <r>
    <n v="319421"/>
    <n v="11"/>
    <s v="AUX"/>
    <s v="Nunemaker"/>
    <s v="AUX"/>
    <m/>
    <m/>
    <x v="4"/>
    <n v="3403.5"/>
  </r>
  <r>
    <n v="319600"/>
    <n v="11"/>
    <s v="AUX"/>
    <s v="Residential Life"/>
    <s v="AUX"/>
    <m/>
    <m/>
    <x v="4"/>
    <n v="532434.54913110565"/>
  </r>
  <r>
    <n v="319606"/>
    <n v="11"/>
    <s v="AUX"/>
    <s v="Founder's Hall"/>
    <s v="AUX"/>
    <m/>
    <m/>
    <x v="4"/>
    <n v="9478.7168765165188"/>
  </r>
  <r>
    <n v="319610"/>
    <n v="11"/>
    <s v="AUX"/>
    <s v="Biever Hall"/>
    <s v="AUX"/>
    <m/>
    <m/>
    <x v="4"/>
    <n v="160827.13624281145"/>
  </r>
  <r>
    <n v="319615"/>
    <n v="11"/>
    <s v="AUX"/>
    <s v="Carrollton Hall"/>
    <s v="AUX"/>
    <m/>
    <m/>
    <x v="4"/>
    <n v="94086.732440370222"/>
  </r>
  <r>
    <n v="319620"/>
    <n v="11"/>
    <s v="AUX"/>
    <s v="Buddig Hall"/>
    <s v="AUX"/>
    <m/>
    <m/>
    <x v="4"/>
    <n v="166404.0680463342"/>
  </r>
  <r>
    <n v="319625"/>
    <n v="11"/>
    <s v="AUX"/>
    <s v="Cabra Hall"/>
    <s v="AUX"/>
    <m/>
    <m/>
    <x v="4"/>
    <n v="115597.20949869858"/>
  </r>
  <r>
    <n v="319627"/>
    <n v="11"/>
    <s v="AUX"/>
    <s v="Danna Center Revenue "/>
    <s v="AUX"/>
    <m/>
    <m/>
    <x v="4"/>
    <n v="89779.370041177986"/>
  </r>
  <r>
    <n v="319675"/>
    <n v="11"/>
    <s v="AUX"/>
    <s v="University Sports Complex"/>
    <s v="AUX"/>
    <m/>
    <m/>
    <x v="4"/>
    <n v="285140.50341623044"/>
  </r>
  <r>
    <n v="319700"/>
    <n v="11"/>
    <s v="AUX"/>
    <s v="Child Care Center"/>
    <s v="AUX"/>
    <m/>
    <m/>
    <x v="4"/>
    <n v="534325.20494069555"/>
  </r>
  <r>
    <n v="319720"/>
    <n v="12"/>
    <s v="DS"/>
    <s v="Debt Service - Aux"/>
    <s v="AUX"/>
    <m/>
    <m/>
    <x v="4"/>
    <n v="1218078.22"/>
  </r>
  <r>
    <n v="319736"/>
    <n v="11"/>
    <s v="AUX"/>
    <s v="Parking Services"/>
    <s v="AUX"/>
    <m/>
    <m/>
    <x v="4"/>
    <n v="70844.372756237164"/>
  </r>
  <r>
    <s v="xxe"/>
    <n v="7"/>
    <s v="PP"/>
    <s v="Physical Plant Allocation"/>
    <s v="IC"/>
    <m/>
    <m/>
    <x v="0"/>
    <n v="5729808.6519326605"/>
  </r>
  <r>
    <s v="xx1"/>
    <m/>
    <m/>
    <s v="Physical Plant Allocation"/>
    <s v="AUX"/>
    <m/>
    <m/>
    <x v="4"/>
    <n v="2825189.2303356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53FBC-62CA-2644-882D-D81CAEB2F254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5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showAll="0">
      <items count="42">
        <item x="2"/>
        <item x="8"/>
        <item x="25"/>
        <item x="35"/>
        <item x="34"/>
        <item x="3"/>
        <item x="10"/>
        <item x="9"/>
        <item x="36"/>
        <item x="21"/>
        <item x="23"/>
        <item x="24"/>
        <item x="26"/>
        <item x="13"/>
        <item x="39"/>
        <item x="4"/>
        <item x="32"/>
        <item x="38"/>
        <item x="15"/>
        <item x="11"/>
        <item x="19"/>
        <item x="40"/>
        <item x="14"/>
        <item x="27"/>
        <item x="30"/>
        <item x="33"/>
        <item x="20"/>
        <item x="16"/>
        <item x="6"/>
        <item x="22"/>
        <item x="17"/>
        <item x="7"/>
        <item x="18"/>
        <item x="0"/>
        <item x="29"/>
        <item x="5"/>
        <item x="12"/>
        <item x="28"/>
        <item x="1"/>
        <item x="31"/>
        <item x="37"/>
        <item t="default"/>
      </items>
    </pivotField>
    <pivotField dataField="1" numFmtId="164" showAll="0"/>
  </pivotFields>
  <rowFields count="1">
    <field x="7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 of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32AB-1667-DD41-A1A8-59297B1D266A}">
  <dimension ref="A1:U43"/>
  <sheetViews>
    <sheetView tabSelected="1"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baseColWidth="10" defaultRowHeight="16" x14ac:dyDescent="0.2"/>
  <cols>
    <col min="1" max="1" width="27.33203125" bestFit="1" customWidth="1"/>
    <col min="2" max="2" width="10.1640625" bestFit="1" customWidth="1"/>
    <col min="3" max="3" width="10.1640625" customWidth="1"/>
    <col min="4" max="4" width="14.83203125" bestFit="1" customWidth="1"/>
    <col min="5" max="5" width="13.83203125" bestFit="1" customWidth="1"/>
    <col min="6" max="6" width="12.1640625" customWidth="1"/>
    <col min="7" max="7" width="19.6640625" bestFit="1" customWidth="1"/>
    <col min="8" max="8" width="19.5" customWidth="1"/>
    <col min="9" max="10" width="19.5" style="6" customWidth="1"/>
    <col min="11" max="11" width="16.6640625" bestFit="1" customWidth="1"/>
    <col min="12" max="12" width="20.33203125" bestFit="1" customWidth="1"/>
    <col min="13" max="13" width="16.6640625" bestFit="1" customWidth="1"/>
    <col min="14" max="14" width="18.6640625" bestFit="1" customWidth="1"/>
    <col min="15" max="15" width="15.6640625" bestFit="1" customWidth="1"/>
    <col min="16" max="16" width="13.6640625" bestFit="1" customWidth="1"/>
    <col min="17" max="17" width="17.1640625" bestFit="1" customWidth="1"/>
    <col min="18" max="18" width="21.6640625" bestFit="1" customWidth="1"/>
    <col min="19" max="19" width="12.6640625" bestFit="1" customWidth="1"/>
    <col min="20" max="20" width="11.5" bestFit="1" customWidth="1"/>
  </cols>
  <sheetData>
    <row r="1" spans="1:21" x14ac:dyDescent="0.2">
      <c r="A1" s="49" t="s">
        <v>0</v>
      </c>
      <c r="B1" s="49" t="s">
        <v>49</v>
      </c>
      <c r="C1" s="49" t="s">
        <v>347</v>
      </c>
      <c r="D1" s="47" t="s">
        <v>1</v>
      </c>
      <c r="E1" s="47" t="s">
        <v>2</v>
      </c>
      <c r="F1" s="47" t="s">
        <v>59</v>
      </c>
      <c r="G1" s="47" t="s">
        <v>64</v>
      </c>
      <c r="H1" s="47" t="s">
        <v>72</v>
      </c>
      <c r="I1" s="47" t="s">
        <v>68</v>
      </c>
      <c r="J1" s="47" t="s">
        <v>76</v>
      </c>
      <c r="K1" s="48" t="s">
        <v>66</v>
      </c>
      <c r="L1" s="47" t="s">
        <v>343</v>
      </c>
      <c r="M1" s="47" t="s">
        <v>60</v>
      </c>
      <c r="N1" s="47" t="s">
        <v>69</v>
      </c>
      <c r="O1" s="54" t="s">
        <v>70</v>
      </c>
      <c r="P1" s="55" t="s">
        <v>71</v>
      </c>
      <c r="Q1" s="54" t="s">
        <v>3</v>
      </c>
      <c r="R1" s="48" t="s">
        <v>74</v>
      </c>
      <c r="S1" s="55" t="s">
        <v>75</v>
      </c>
      <c r="T1" t="s">
        <v>344</v>
      </c>
      <c r="U1" t="s">
        <v>345</v>
      </c>
    </row>
    <row r="2" spans="1:21" x14ac:dyDescent="0.2">
      <c r="A2" s="50" t="s">
        <v>4</v>
      </c>
      <c r="B2" s="50" t="s">
        <v>5</v>
      </c>
      <c r="C2" s="56">
        <f>VLOOKUP(A2,'Key Ratios and IC'!$A$2:$D$32,4,)</f>
        <v>1.7920135459291657E-2</v>
      </c>
      <c r="D2" s="53">
        <v>1833787.97</v>
      </c>
      <c r="E2" s="53">
        <v>726119.96500000008</v>
      </c>
      <c r="F2" s="53">
        <v>1243.4047036827196</v>
      </c>
      <c r="G2" s="53">
        <f>$B$38*C2</f>
        <v>101463.80697050937</v>
      </c>
      <c r="H2" s="53">
        <v>5747.9123450276966</v>
      </c>
      <c r="I2" s="53">
        <v>86850</v>
      </c>
      <c r="J2" s="53">
        <f>$B$40*C2</f>
        <v>5260.5368526879929</v>
      </c>
      <c r="K2" s="11">
        <f>SUM(E2:J2)</f>
        <v>926685.6258719078</v>
      </c>
      <c r="L2" s="53">
        <f>VLOOKUP(A2,'Direct Costs Allocation'!$A$2:$E$33,5,)</f>
        <v>385552.78845130088</v>
      </c>
      <c r="M2" s="53">
        <v>34200.012000000002</v>
      </c>
      <c r="N2" s="53">
        <v>20269.080636145736</v>
      </c>
      <c r="O2" s="12">
        <f t="shared" ref="O2:O33" si="0">SUM(L2:N2)</f>
        <v>440021.88108744659</v>
      </c>
      <c r="P2" s="13">
        <f t="shared" ref="P2:P33" si="1">K2-O2</f>
        <v>486663.74478446122</v>
      </c>
      <c r="Q2" s="12">
        <f>VLOOKUP(A2,'Key Ratios and IC'!$A$2:$AG$33,28,)</f>
        <v>879021.39519428019</v>
      </c>
      <c r="R2" s="11">
        <f>VLOOKUP(A2,'Key Ratios and IC'!$A$2:$AG$33,33,)</f>
        <v>385371.00879124267</v>
      </c>
      <c r="S2" s="13">
        <f>P2-Q2+R2</f>
        <v>-6986.6416185763082</v>
      </c>
      <c r="T2">
        <f>VLOOKUP(A2,[15]Sheet3!$A$1:$D$43,3,)</f>
        <v>1554</v>
      </c>
      <c r="U2" s="45">
        <f>(E2+F2+G2)/T2</f>
        <v>533.35082154066424</v>
      </c>
    </row>
    <row r="3" spans="1:21" x14ac:dyDescent="0.2">
      <c r="A3" s="50" t="s">
        <v>6</v>
      </c>
      <c r="B3" s="50" t="s">
        <v>7</v>
      </c>
      <c r="C3" s="56">
        <f>VLOOKUP(A3,'Key Ratios and IC'!$A$2:$D$32,4,)</f>
        <v>5.8649052255303147E-2</v>
      </c>
      <c r="D3" s="53">
        <v>5435923.3600000013</v>
      </c>
      <c r="E3" s="53">
        <v>1544696.1499999997</v>
      </c>
      <c r="F3" s="53">
        <v>4661.4884158640225</v>
      </c>
      <c r="G3" s="53">
        <f t="shared" ref="G3:G33" si="2">$B$38*C3</f>
        <v>332070.93386952643</v>
      </c>
      <c r="H3" s="53">
        <v>18972.275892464608</v>
      </c>
      <c r="I3" s="53">
        <v>146265.74</v>
      </c>
      <c r="J3" s="53">
        <f t="shared" ref="J3:J33" si="3">$B$40*C3</f>
        <v>17216.694676505605</v>
      </c>
      <c r="K3" s="11">
        <f t="shared" ref="K3:K33" si="4">SUM(E3:J3)</f>
        <v>2063883.2828543605</v>
      </c>
      <c r="L3" s="53">
        <f>VLOOKUP(A3,'Direct Costs Allocation'!$A$2:$E$33,5,)</f>
        <v>1101529.9160076242</v>
      </c>
      <c r="M3" s="53">
        <v>16136.125625000001</v>
      </c>
      <c r="N3" s="53">
        <v>36331.370951581979</v>
      </c>
      <c r="O3" s="12">
        <f t="shared" si="0"/>
        <v>1153997.4125842063</v>
      </c>
      <c r="P3" s="13">
        <f t="shared" si="1"/>
        <v>909885.87027015421</v>
      </c>
      <c r="Q3" s="12">
        <f>VLOOKUP(A3,'Key Ratios and IC'!$A$2:$AG$33,28,)</f>
        <v>2685469.6131536392</v>
      </c>
      <c r="R3" s="11">
        <f>VLOOKUP(A3,'Key Ratios and IC'!$A$2:$AG$33,33,)</f>
        <v>571675.75572585827</v>
      </c>
      <c r="S3" s="13">
        <f t="shared" ref="S3:S33" si="5">P3-Q3+R3</f>
        <v>-1203907.9871576268</v>
      </c>
      <c r="T3">
        <f>VLOOKUP(A3,[15]Sheet3!$A$1:$D$43,3,)</f>
        <v>3613</v>
      </c>
      <c r="U3" s="45">
        <f t="shared" ref="U3:U33" si="6">(E3+F3+G3)/T3</f>
        <v>520.73860290212849</v>
      </c>
    </row>
    <row r="4" spans="1:21" x14ac:dyDescent="0.2">
      <c r="A4" s="50" t="s">
        <v>8</v>
      </c>
      <c r="B4" s="50" t="s">
        <v>7</v>
      </c>
      <c r="C4" s="56">
        <f>VLOOKUP(A4,'Key Ratios and IC'!$A$2:$D$32,4,)</f>
        <v>2.2385471050279854E-2</v>
      </c>
      <c r="D4" s="53">
        <v>2988402.85</v>
      </c>
      <c r="E4" s="53">
        <v>967985.24000000011</v>
      </c>
      <c r="F4" s="53">
        <v>2901.277641926346</v>
      </c>
      <c r="G4" s="53">
        <f t="shared" si="2"/>
        <v>126746.53708668453</v>
      </c>
      <c r="H4" s="53">
        <v>11808.211230546029</v>
      </c>
      <c r="I4" s="53">
        <v>186750.02</v>
      </c>
      <c r="J4" s="53">
        <f t="shared" si="3"/>
        <v>6571.3563210661205</v>
      </c>
      <c r="K4" s="11">
        <f t="shared" si="4"/>
        <v>1302762.6422802231</v>
      </c>
      <c r="L4" s="53">
        <f>VLOOKUP(A4,'Direct Costs Allocation'!$A$2:$E$33,5,)</f>
        <v>743762.12644635176</v>
      </c>
      <c r="M4" s="53">
        <v>16136.125625000001</v>
      </c>
      <c r="N4" s="53">
        <v>54305.83868552254</v>
      </c>
      <c r="O4" s="12">
        <f t="shared" si="0"/>
        <v>814204.0907568743</v>
      </c>
      <c r="P4" s="13">
        <f t="shared" si="1"/>
        <v>488558.55152334878</v>
      </c>
      <c r="Q4" s="12">
        <f>VLOOKUP(A4,'Key Ratios and IC'!$A$2:$AG$33,28,)</f>
        <v>1050809.7840575103</v>
      </c>
      <c r="R4" s="11">
        <f>VLOOKUP(A4,'Key Ratios and IC'!$A$2:$AG$33,33,)</f>
        <v>434324.79394513305</v>
      </c>
      <c r="S4" s="13">
        <f t="shared" si="5"/>
        <v>-127926.43858902849</v>
      </c>
      <c r="T4">
        <f>VLOOKUP(A4,[15]Sheet3!$A$1:$D$43,3,)</f>
        <v>2249.5</v>
      </c>
      <c r="U4" s="45">
        <f t="shared" si="6"/>
        <v>487.94534551171859</v>
      </c>
    </row>
    <row r="5" spans="1:21" x14ac:dyDescent="0.2">
      <c r="A5" s="50" t="s">
        <v>332</v>
      </c>
      <c r="B5" s="50" t="s">
        <v>7</v>
      </c>
      <c r="C5" s="56">
        <f>VLOOKUP(A5,'Key Ratios and IC'!$A$2:$D$32,4,)</f>
        <v>1.3166713701142942E-2</v>
      </c>
      <c r="D5" s="53">
        <v>720461.07000000007</v>
      </c>
      <c r="E5" s="53">
        <v>230365.43</v>
      </c>
      <c r="F5" s="53">
        <v>593.55944702549573</v>
      </c>
      <c r="G5" s="53">
        <f t="shared" si="2"/>
        <v>74549.932975871343</v>
      </c>
      <c r="H5" s="53">
        <v>2415.7892464609158</v>
      </c>
      <c r="I5" s="53">
        <v>0</v>
      </c>
      <c r="J5" s="53">
        <f t="shared" si="3"/>
        <v>3865.1483863499889</v>
      </c>
      <c r="K5" s="11">
        <f t="shared" si="4"/>
        <v>311789.86005570774</v>
      </c>
      <c r="L5" s="53">
        <f>VLOOKUP(A5,'Direct Costs Allocation'!$A$2:$E$33,5,)</f>
        <v>19028.700028418039</v>
      </c>
      <c r="M5" s="53">
        <v>16136.125625000001</v>
      </c>
      <c r="N5" s="53">
        <v>0</v>
      </c>
      <c r="O5" s="12">
        <f t="shared" si="0"/>
        <v>35164.82565341804</v>
      </c>
      <c r="P5" s="13">
        <f t="shared" si="1"/>
        <v>276625.03440228972</v>
      </c>
      <c r="Q5" s="12">
        <f>VLOOKUP(A5,'Key Ratios and IC'!$A$2:$AG$33,28,)</f>
        <v>623547.7994202791</v>
      </c>
      <c r="R5" s="11">
        <f>VLOOKUP(A5,'Key Ratios and IC'!$A$2:$AG$33,33,)</f>
        <v>399408.07733161538</v>
      </c>
      <c r="S5" s="13">
        <f t="shared" si="5"/>
        <v>52485.312313625996</v>
      </c>
      <c r="T5">
        <f>VLOOKUP(A5,[15]Sheet3!$A$1:$D$43,3,)</f>
        <v>465</v>
      </c>
      <c r="U5" s="45">
        <f t="shared" si="6"/>
        <v>657.00843531805776</v>
      </c>
    </row>
    <row r="6" spans="1:21" x14ac:dyDescent="0.2">
      <c r="A6" s="50" t="s">
        <v>31</v>
      </c>
      <c r="B6" s="50" t="s">
        <v>9</v>
      </c>
      <c r="C6" s="56">
        <f>VLOOKUP(A6,'Key Ratios and IC'!$A$2:$D$32,4,)</f>
        <v>0.1178213630591223</v>
      </c>
      <c r="D6" s="53">
        <v>21413268.109999996</v>
      </c>
      <c r="E6" s="53">
        <v>13733770.579999998</v>
      </c>
      <c r="F6" s="53">
        <v>4057.6951852691222</v>
      </c>
      <c r="G6" s="53">
        <f t="shared" si="2"/>
        <v>667104.55764075043</v>
      </c>
      <c r="H6" s="53">
        <v>51002.309177437783</v>
      </c>
      <c r="I6" s="53">
        <v>732025.67999999993</v>
      </c>
      <c r="J6" s="53">
        <f t="shared" si="3"/>
        <v>34586.994267673021</v>
      </c>
      <c r="K6" s="11">
        <f t="shared" si="4"/>
        <v>15222547.816271126</v>
      </c>
      <c r="L6" s="53">
        <f>VLOOKUP(A6,'Direct Costs Allocation'!$A$2:$E$33,5,)</f>
        <v>6751172.7398926476</v>
      </c>
      <c r="M6" s="53">
        <v>0</v>
      </c>
      <c r="N6" s="53">
        <v>102492.70963183127</v>
      </c>
      <c r="O6" s="12">
        <f t="shared" si="0"/>
        <v>6853665.449524479</v>
      </c>
      <c r="P6" s="13">
        <f t="shared" si="1"/>
        <v>8368882.3667466473</v>
      </c>
      <c r="Q6" s="12">
        <f>VLOOKUP(A6,'Key Ratios and IC'!$A$2:$AG$33,28,)</f>
        <v>7310278.3346641511</v>
      </c>
      <c r="R6" s="11">
        <f>VLOOKUP(A6,'Key Ratios and IC'!$A$2:$AG$33,33,)</f>
        <v>446257.01590235613</v>
      </c>
      <c r="S6" s="13">
        <f t="shared" si="5"/>
        <v>1504861.0479848525</v>
      </c>
      <c r="T6">
        <f>VLOOKUP(A6,[15]Sheet3!$A$1:$D$43,3,)</f>
        <v>14061</v>
      </c>
      <c r="U6" s="45">
        <f t="shared" si="6"/>
        <v>1024.4600549623794</v>
      </c>
    </row>
    <row r="7" spans="1:21" x14ac:dyDescent="0.2">
      <c r="A7" s="50" t="s">
        <v>36</v>
      </c>
      <c r="B7" s="50" t="s">
        <v>7</v>
      </c>
      <c r="C7" s="56">
        <f>VLOOKUP(A7,'Key Ratios and IC'!$A$2:$D$32,4,)</f>
        <v>1.9845609331640091E-2</v>
      </c>
      <c r="D7" s="53">
        <v>1439226.7799999998</v>
      </c>
      <c r="E7" s="53">
        <v>437967.34499999997</v>
      </c>
      <c r="F7" s="53">
        <v>1330.391864022663</v>
      </c>
      <c r="G7" s="53">
        <f t="shared" si="2"/>
        <v>112365.84003574619</v>
      </c>
      <c r="H7" s="53">
        <v>6310.2081179108409</v>
      </c>
      <c r="I7" s="53">
        <v>45366</v>
      </c>
      <c r="J7" s="53">
        <f t="shared" si="3"/>
        <v>5825.7684206851445</v>
      </c>
      <c r="K7" s="11">
        <f t="shared" si="4"/>
        <v>609165.55343836488</v>
      </c>
      <c r="L7" s="53">
        <v>0</v>
      </c>
      <c r="M7" s="53">
        <v>148488.54</v>
      </c>
      <c r="N7" s="53">
        <v>12237.935478427613</v>
      </c>
      <c r="O7" s="12">
        <f t="shared" si="0"/>
        <v>160726.47547842763</v>
      </c>
      <c r="P7" s="13">
        <f t="shared" si="1"/>
        <v>448439.07795993728</v>
      </c>
      <c r="Q7" s="12">
        <f>VLOOKUP(A7,'Key Ratios and IC'!$A$2:$AG$33,28,)</f>
        <v>927297.30818349309</v>
      </c>
      <c r="R7" s="11">
        <f>VLOOKUP(A7,'Key Ratios and IC'!$A$2:$AG$33,33,)</f>
        <v>424704.88222508226</v>
      </c>
      <c r="S7" s="13">
        <f t="shared" si="5"/>
        <v>-54153.34799847356</v>
      </c>
      <c r="T7">
        <f>VLOOKUP(A7,[15]Sheet3!$A$1:$D$43,3,)</f>
        <v>1221</v>
      </c>
      <c r="U7" s="45">
        <f t="shared" si="6"/>
        <v>451.81292129383195</v>
      </c>
    </row>
    <row r="8" spans="1:21" x14ac:dyDescent="0.2">
      <c r="A8" s="50" t="s">
        <v>10</v>
      </c>
      <c r="B8" s="50" t="s">
        <v>11</v>
      </c>
      <c r="C8" s="56">
        <f>VLOOKUP(A8,'Key Ratios and IC'!$A$2:$D$32,4,)</f>
        <v>1.166455011523447E-2</v>
      </c>
      <c r="D8" s="53">
        <v>1098168.1299999999</v>
      </c>
      <c r="E8" s="53">
        <v>949163.08000000007</v>
      </c>
      <c r="F8" s="53">
        <v>1023.37835694051</v>
      </c>
      <c r="G8" s="53">
        <f t="shared" si="2"/>
        <v>66044.682752457578</v>
      </c>
      <c r="H8" s="53">
        <v>5414.7000351710185</v>
      </c>
      <c r="I8" s="53">
        <v>196326.61999999997</v>
      </c>
      <c r="J8" s="53">
        <f t="shared" si="3"/>
        <v>3424.1814684163328</v>
      </c>
      <c r="K8" s="11">
        <f t="shared" si="4"/>
        <v>1221396.6426129853</v>
      </c>
      <c r="L8" s="53">
        <f>VLOOKUP(A8,'Direct Costs Allocation'!$A$2:$E$33,5,)</f>
        <v>489769.469763931</v>
      </c>
      <c r="M8" s="53">
        <v>16136.125625000001</v>
      </c>
      <c r="N8" s="53">
        <v>36713.806435282844</v>
      </c>
      <c r="O8" s="12">
        <f t="shared" si="0"/>
        <v>542619.4018242138</v>
      </c>
      <c r="P8" s="13">
        <f t="shared" si="1"/>
        <v>678777.24078877154</v>
      </c>
      <c r="Q8" s="12">
        <f>VLOOKUP(A8,'Key Ratios and IC'!$A$2:$AG$33,28,)</f>
        <v>509998.27774089435</v>
      </c>
      <c r="R8" s="11">
        <f>VLOOKUP(A8,'Key Ratios and IC'!$A$2:$AG$33,33,)</f>
        <v>44180.335306899957</v>
      </c>
      <c r="S8" s="13">
        <f t="shared" si="5"/>
        <v>212959.29835477716</v>
      </c>
      <c r="T8">
        <f>VLOOKUP(A8,[15]Sheet3!$A$1:$D$43,3,)</f>
        <v>1228.5</v>
      </c>
      <c r="U8" s="45">
        <f t="shared" si="6"/>
        <v>827.21297607602617</v>
      </c>
    </row>
    <row r="9" spans="1:21" x14ac:dyDescent="0.2">
      <c r="A9" s="50" t="s">
        <v>37</v>
      </c>
      <c r="B9" s="50" t="s">
        <v>7</v>
      </c>
      <c r="C9" s="56">
        <f>VLOOKUP(A9,'Key Ratios and IC'!$A$2:$D$32,4,)</f>
        <v>3.8612365363811671E-2</v>
      </c>
      <c r="D9" s="53">
        <v>4241311.84</v>
      </c>
      <c r="E9" s="53">
        <v>1486321.8800000001</v>
      </c>
      <c r="F9" s="53">
        <v>2691.4850787535411</v>
      </c>
      <c r="G9" s="53">
        <f t="shared" si="2"/>
        <v>218623.21268990167</v>
      </c>
      <c r="H9" s="53">
        <v>16223.274336147015</v>
      </c>
      <c r="I9" s="53">
        <v>115472.34</v>
      </c>
      <c r="J9" s="53">
        <f t="shared" si="3"/>
        <v>11334.834573500129</v>
      </c>
      <c r="K9" s="11">
        <f t="shared" si="4"/>
        <v>1850667.0266783026</v>
      </c>
      <c r="L9" s="53">
        <f>VLOOKUP(A9,'Direct Costs Allocation'!$A$2:$E$33,5,)</f>
        <v>502797.77209982974</v>
      </c>
      <c r="M9" s="53">
        <v>16136.125625000001</v>
      </c>
      <c r="N9" s="53">
        <v>36331.370951581979</v>
      </c>
      <c r="O9" s="12">
        <f t="shared" si="0"/>
        <v>555265.26867641171</v>
      </c>
      <c r="P9" s="13">
        <f t="shared" si="1"/>
        <v>1295401.758001891</v>
      </c>
      <c r="Q9" s="12">
        <f>VLOOKUP(A9,'Key Ratios and IC'!$A$2:$AG$33,28,)</f>
        <v>1779623.4681644526</v>
      </c>
      <c r="R9" s="11">
        <f>VLOOKUP(A9,'Key Ratios and IC'!$A$2:$AG$33,33,)</f>
        <v>495785.34104545758</v>
      </c>
      <c r="S9" s="13">
        <f t="shared" si="5"/>
        <v>11563.630882895959</v>
      </c>
      <c r="T9">
        <f>VLOOKUP(A9,[15]Sheet3!$A$1:$D$43,3,)</f>
        <v>3937</v>
      </c>
      <c r="U9" s="45">
        <f t="shared" si="6"/>
        <v>433.74055823435492</v>
      </c>
    </row>
    <row r="10" spans="1:21" x14ac:dyDescent="0.2">
      <c r="A10" s="50" t="s">
        <v>12</v>
      </c>
      <c r="B10" s="50" t="s">
        <v>13</v>
      </c>
      <c r="C10" s="56">
        <f>VLOOKUP(A10,'Key Ratios and IC'!$A$2:$D$32,4,)</f>
        <v>1.871972155590048E-2</v>
      </c>
      <c r="D10" s="53">
        <v>2852351.05</v>
      </c>
      <c r="E10" s="53">
        <v>1122838.7949999999</v>
      </c>
      <c r="F10" s="53">
        <v>2108.1594152974503</v>
      </c>
      <c r="G10" s="53">
        <f t="shared" si="2"/>
        <v>105991.06344950853</v>
      </c>
      <c r="H10" s="53">
        <v>8580.2169788094616</v>
      </c>
      <c r="I10" s="53">
        <v>0</v>
      </c>
      <c r="J10" s="53">
        <f t="shared" si="3"/>
        <v>5495.2589694745984</v>
      </c>
      <c r="K10" s="11">
        <f t="shared" si="4"/>
        <v>1245013.49381309</v>
      </c>
      <c r="L10" s="53">
        <f>VLOOKUP(A10,'Direct Costs Allocation'!$A$2:$E$33,5,)</f>
        <v>395370.92963227344</v>
      </c>
      <c r="M10" s="53">
        <v>0</v>
      </c>
      <c r="N10" s="53">
        <v>0</v>
      </c>
      <c r="O10" s="12">
        <f t="shared" si="0"/>
        <v>395370.92963227344</v>
      </c>
      <c r="P10" s="13">
        <f t="shared" si="1"/>
        <v>849642.56418081652</v>
      </c>
      <c r="Q10" s="12">
        <f>VLOOKUP(A10,'Key Ratios and IC'!$A$2:$AG$33,28,)</f>
        <v>932166.2397456012</v>
      </c>
      <c r="R10" s="11">
        <f>VLOOKUP(A10,'Key Ratios and IC'!$A$2:$AG$33,33,)</f>
        <v>680842.89984706847</v>
      </c>
      <c r="S10" s="13">
        <f t="shared" si="5"/>
        <v>598319.2242822838</v>
      </c>
      <c r="T10">
        <f>VLOOKUP(A10,[15]Sheet3!$A$1:$D$43,3,)</f>
        <v>2054</v>
      </c>
      <c r="U10" s="45">
        <f t="shared" si="6"/>
        <v>599.28822680857149</v>
      </c>
    </row>
    <row r="11" spans="1:21" x14ac:dyDescent="0.2">
      <c r="A11" s="50" t="s">
        <v>14</v>
      </c>
      <c r="B11" s="50" t="s">
        <v>5</v>
      </c>
      <c r="C11" s="56">
        <f>VLOOKUP(A11,'Key Ratios and IC'!$A$2:$D$32,4,)</f>
        <v>1.1241239828794507E-2</v>
      </c>
      <c r="D11" s="53">
        <v>2127270.71</v>
      </c>
      <c r="E11" s="53">
        <v>821325.09500000009</v>
      </c>
      <c r="F11" s="53">
        <v>1468.5479422096319</v>
      </c>
      <c r="G11" s="53">
        <f t="shared" si="2"/>
        <v>63647.8999106345</v>
      </c>
      <c r="H11" s="53">
        <v>6664.2461971335615</v>
      </c>
      <c r="I11" s="53">
        <v>0</v>
      </c>
      <c r="J11" s="53">
        <f t="shared" si="3"/>
        <v>3299.9168183528359</v>
      </c>
      <c r="K11" s="11">
        <f t="shared" si="4"/>
        <v>896405.70586833067</v>
      </c>
      <c r="L11" s="53">
        <f>VLOOKUP(A11,'Direct Costs Allocation'!$A$2:$E$33,5,)</f>
        <v>241855.94866105224</v>
      </c>
      <c r="M11" s="53">
        <v>34200.012000000002</v>
      </c>
      <c r="N11" s="53">
        <v>0</v>
      </c>
      <c r="O11" s="12">
        <f t="shared" si="0"/>
        <v>276055.96066105226</v>
      </c>
      <c r="P11" s="13">
        <f t="shared" si="1"/>
        <v>620349.74520727841</v>
      </c>
      <c r="Q11" s="12">
        <f>VLOOKUP(A11,'Key Ratios and IC'!$A$2:$AG$33,28,)</f>
        <v>569401.24086945748</v>
      </c>
      <c r="R11" s="11">
        <f>VLOOKUP(A11,'Key Ratios and IC'!$A$2:$AG$33,33,)</f>
        <v>360074.20389777579</v>
      </c>
      <c r="S11" s="13">
        <f t="shared" si="5"/>
        <v>411022.70823559671</v>
      </c>
      <c r="T11">
        <f>VLOOKUP(A11,[15]Sheet3!$A$1:$D$43,3,)</f>
        <v>1730</v>
      </c>
      <c r="U11" s="45">
        <f t="shared" si="6"/>
        <v>512.39395540626833</v>
      </c>
    </row>
    <row r="12" spans="1:21" x14ac:dyDescent="0.2">
      <c r="A12" s="50" t="s">
        <v>15</v>
      </c>
      <c r="B12" s="50" t="s">
        <v>7</v>
      </c>
      <c r="C12" s="56">
        <f>VLOOKUP(A12,'Key Ratios and IC'!$A$2:$D$32,4,)</f>
        <v>2.9534711443488071E-2</v>
      </c>
      <c r="D12" s="53">
        <v>7158697.2000000002</v>
      </c>
      <c r="E12" s="53">
        <v>2594206.48</v>
      </c>
      <c r="F12" s="53">
        <v>5183.4113779036825</v>
      </c>
      <c r="G12" s="53">
        <f t="shared" si="2"/>
        <v>167225.53619302946</v>
      </c>
      <c r="H12" s="53">
        <v>22637.611300888067</v>
      </c>
      <c r="I12" s="53">
        <v>202970.27</v>
      </c>
      <c r="J12" s="53">
        <f t="shared" si="3"/>
        <v>8670.0481888051618</v>
      </c>
      <c r="K12" s="11">
        <f t="shared" si="4"/>
        <v>3000893.3570606261</v>
      </c>
      <c r="L12" s="53">
        <f>VLOOKUP(A12,'Direct Costs Allocation'!$A$2:$E$33,5,)</f>
        <v>1132515.0799078888</v>
      </c>
      <c r="M12" s="53">
        <v>16136.125625000001</v>
      </c>
      <c r="N12" s="53">
        <v>53540.967718120817</v>
      </c>
      <c r="O12" s="12">
        <f t="shared" si="0"/>
        <v>1202192.1732510098</v>
      </c>
      <c r="P12" s="13">
        <f t="shared" si="1"/>
        <v>1798701.1838096164</v>
      </c>
      <c r="Q12" s="12">
        <f>VLOOKUP(A12,'Key Ratios and IC'!$A$2:$AG$33,28,)</f>
        <v>1389218.5714205464</v>
      </c>
      <c r="R12" s="11">
        <f>VLOOKUP(A12,'Key Ratios and IC'!$A$2:$AG$33,33,)</f>
        <v>461403.0639719427</v>
      </c>
      <c r="S12" s="13">
        <f t="shared" si="5"/>
        <v>870885.67636101274</v>
      </c>
      <c r="T12">
        <f>VLOOKUP(A12,[15]Sheet3!$A$1:$D$43,3,)</f>
        <v>5794</v>
      </c>
      <c r="U12" s="45">
        <f t="shared" si="6"/>
        <v>477.49662194872849</v>
      </c>
    </row>
    <row r="13" spans="1:21" x14ac:dyDescent="0.2">
      <c r="A13" s="50" t="s">
        <v>16</v>
      </c>
      <c r="B13" s="50" t="s">
        <v>5</v>
      </c>
      <c r="C13" s="56">
        <f>VLOOKUP(A13,'Key Ratios and IC'!$A$2:$D$32,4,)</f>
        <v>2.2623583086402336E-2</v>
      </c>
      <c r="D13" s="53">
        <v>1714472.85</v>
      </c>
      <c r="E13" s="53">
        <v>723182.22</v>
      </c>
      <c r="F13" s="53">
        <v>716.36484985835693</v>
      </c>
      <c r="G13" s="53">
        <f t="shared" si="2"/>
        <v>128094.72743521002</v>
      </c>
      <c r="H13" s="53">
        <v>3915.2446408159667</v>
      </c>
      <c r="I13" s="53">
        <v>132969.9</v>
      </c>
      <c r="J13" s="53">
        <f t="shared" si="3"/>
        <v>6641.2551867268376</v>
      </c>
      <c r="K13" s="11">
        <f t="shared" si="4"/>
        <v>995519.71211261116</v>
      </c>
      <c r="L13" s="53">
        <f>VLOOKUP(A13,'Direct Costs Allocation'!$A$2:$E$33,5,)</f>
        <v>486747.7460500676</v>
      </c>
      <c r="M13" s="53">
        <v>34200.012000000002</v>
      </c>
      <c r="N13" s="53">
        <v>29829.967728667314</v>
      </c>
      <c r="O13" s="12">
        <f t="shared" si="0"/>
        <v>550777.72577873489</v>
      </c>
      <c r="P13" s="13">
        <f t="shared" si="1"/>
        <v>444741.98633387627</v>
      </c>
      <c r="Q13" s="12">
        <f>VLOOKUP(A13,'Key Ratios and IC'!$A$2:$AG$33,28,)</f>
        <v>1094698.4782437196</v>
      </c>
      <c r="R13" s="11">
        <f>VLOOKUP(A13,'Key Ratios and IC'!$A$2:$AG$33,33,)</f>
        <v>403185.66012467007</v>
      </c>
      <c r="S13" s="13">
        <f t="shared" si="5"/>
        <v>-246770.83178517321</v>
      </c>
      <c r="T13">
        <f>VLOOKUP(A13,[15]Sheet3!$A$1:$D$43,3,)</f>
        <v>1245</v>
      </c>
      <c r="U13" s="45">
        <f t="shared" si="6"/>
        <v>684.33197773901065</v>
      </c>
    </row>
    <row r="14" spans="1:21" x14ac:dyDescent="0.2">
      <c r="A14" s="50" t="s">
        <v>17</v>
      </c>
      <c r="B14" s="50" t="s">
        <v>7</v>
      </c>
      <c r="C14" s="56">
        <f>VLOOKUP(A14,'Key Ratios and IC'!$A$2:$D$32,4,)</f>
        <v>1.834050609096468E-2</v>
      </c>
      <c r="D14" s="53">
        <v>6685073.790000001</v>
      </c>
      <c r="E14" s="53">
        <v>2346071.2299999995</v>
      </c>
      <c r="F14" s="53">
        <v>4743.3586844192632</v>
      </c>
      <c r="G14" s="53">
        <f t="shared" si="2"/>
        <v>103843.94548704202</v>
      </c>
      <c r="H14" s="53">
        <v>22158.618605469092</v>
      </c>
      <c r="I14" s="53">
        <v>108427.56999999999</v>
      </c>
      <c r="J14" s="53">
        <f t="shared" si="3"/>
        <v>5383.9385537927164</v>
      </c>
      <c r="K14" s="11">
        <f t="shared" si="4"/>
        <v>2590628.6613307223</v>
      </c>
      <c r="L14" s="53">
        <f>VLOOKUP(A14,'Direct Costs Allocation'!$A$2:$E$33,5,)</f>
        <v>887856.43738481856</v>
      </c>
      <c r="M14" s="53">
        <v>16136.125625000001</v>
      </c>
      <c r="N14" s="53">
        <v>23710.999989453503</v>
      </c>
      <c r="O14" s="12">
        <f t="shared" si="0"/>
        <v>927703.56299927202</v>
      </c>
      <c r="P14" s="13">
        <f t="shared" si="1"/>
        <v>1662925.0983314503</v>
      </c>
      <c r="Q14" s="12">
        <f>VLOOKUP(A14,'Key Ratios and IC'!$A$2:$AG$33,28,)</f>
        <v>892165.71491518349</v>
      </c>
      <c r="R14" s="11">
        <f>VLOOKUP(A14,'Key Ratios and IC'!$A$2:$AG$33,33,)</f>
        <v>419004.1937983855</v>
      </c>
      <c r="S14" s="13">
        <f t="shared" si="5"/>
        <v>1189763.5772146522</v>
      </c>
      <c r="T14">
        <f>VLOOKUP(A14,[15]Sheet3!$A$1:$D$43,3,)</f>
        <v>5333</v>
      </c>
      <c r="U14" s="45">
        <f t="shared" si="6"/>
        <v>460.27724248480416</v>
      </c>
    </row>
    <row r="15" spans="1:21" x14ac:dyDescent="0.2">
      <c r="A15" s="50" t="s">
        <v>30</v>
      </c>
      <c r="B15" s="50" t="s">
        <v>7</v>
      </c>
      <c r="C15" s="56">
        <f>VLOOKUP(A15,'Key Ratios and IC'!$A$2:$D$32,4,)</f>
        <v>5.0767837825125822E-3</v>
      </c>
      <c r="D15" s="53">
        <v>3414903.63</v>
      </c>
      <c r="E15" s="53">
        <v>1205854.7000000002</v>
      </c>
      <c r="F15" s="53">
        <v>2532.8614334277622</v>
      </c>
      <c r="G15" s="53">
        <f t="shared" si="2"/>
        <v>28744.749776586239</v>
      </c>
      <c r="H15" s="53">
        <v>10912.703147806207</v>
      </c>
      <c r="I15" s="53">
        <v>21452</v>
      </c>
      <c r="J15" s="53">
        <f t="shared" si="3"/>
        <v>1490.3128518031767</v>
      </c>
      <c r="K15" s="11">
        <f t="shared" si="4"/>
        <v>1270987.3272096235</v>
      </c>
      <c r="L15" s="53">
        <f>VLOOKUP(A15,'Direct Costs Allocation'!$A$2:$E$33,5,)</f>
        <v>600539.90560571186</v>
      </c>
      <c r="M15" s="53">
        <v>16136.125625000001</v>
      </c>
      <c r="N15" s="53">
        <v>4206.7903207094923</v>
      </c>
      <c r="O15" s="12">
        <f t="shared" si="0"/>
        <v>620882.82155142131</v>
      </c>
      <c r="P15" s="13">
        <f t="shared" si="1"/>
        <v>650104.50565820222</v>
      </c>
      <c r="Q15" s="12">
        <f>VLOOKUP(A15,'Key Ratios and IC'!$A$2:$AG$33,28,)</f>
        <v>281948.93871410046</v>
      </c>
      <c r="R15" s="11">
        <f>VLOOKUP(A15,'Key Ratios and IC'!$A$2:$AG$33,33,)</f>
        <v>368766.87703812023</v>
      </c>
      <c r="S15" s="13">
        <f t="shared" si="5"/>
        <v>736922.443982222</v>
      </c>
      <c r="T15">
        <f>VLOOKUP(A15,[15]Sheet3!$A$1:$D$43,3,)</f>
        <v>2765</v>
      </c>
      <c r="U15" s="45">
        <f t="shared" si="6"/>
        <v>447.42579067269952</v>
      </c>
    </row>
    <row r="16" spans="1:21" x14ac:dyDescent="0.2">
      <c r="A16" s="50" t="s">
        <v>138</v>
      </c>
      <c r="B16" s="50" t="s">
        <v>11</v>
      </c>
      <c r="C16" s="56">
        <f>VLOOKUP(A16,'Key Ratios and IC'!$A$2:$D$32,4,)</f>
        <v>9.1717228728658111E-3</v>
      </c>
      <c r="D16" s="53">
        <v>774330</v>
      </c>
      <c r="E16" s="53">
        <v>310097.63999999996</v>
      </c>
      <c r="F16" s="53">
        <v>0</v>
      </c>
      <c r="G16" s="53">
        <f t="shared" si="2"/>
        <v>51930.294906166222</v>
      </c>
      <c r="H16" s="53">
        <v>7372.3223555790028</v>
      </c>
      <c r="I16" s="53">
        <v>0</v>
      </c>
      <c r="J16" s="53">
        <f t="shared" si="3"/>
        <v>2692.4007513757447</v>
      </c>
      <c r="K16" s="11">
        <f t="shared" si="4"/>
        <v>372092.65801312093</v>
      </c>
      <c r="L16" s="53">
        <f>VLOOKUP(A16,'Direct Costs Allocation'!$A$2:$E$33,5,)</f>
        <v>455874.25279219379</v>
      </c>
      <c r="M16" s="53">
        <v>0</v>
      </c>
      <c r="N16" s="53">
        <v>0</v>
      </c>
      <c r="O16" s="12">
        <f t="shared" si="0"/>
        <v>455874.25279219379</v>
      </c>
      <c r="P16" s="13">
        <f t="shared" si="1"/>
        <v>-83781.594779072853</v>
      </c>
      <c r="Q16" s="12">
        <f>VLOOKUP(A16,'Key Ratios and IC'!$A$2:$AG$33,28,)</f>
        <v>406909.65926656983</v>
      </c>
      <c r="R16" s="11">
        <f>VLOOKUP(A16,'Key Ratios and IC'!$A$2:$AG$33,33,)</f>
        <v>34738.570100183424</v>
      </c>
      <c r="S16" s="13">
        <f t="shared" si="5"/>
        <v>-455952.68394545926</v>
      </c>
      <c r="T16">
        <f>VLOOKUP(A16,[15]Sheet3!$A$1:$D$43,3,)</f>
        <v>1401</v>
      </c>
      <c r="U16" s="45">
        <f t="shared" si="6"/>
        <v>258.40680578598585</v>
      </c>
    </row>
    <row r="17" spans="1:21" x14ac:dyDescent="0.2">
      <c r="A17" s="50" t="s">
        <v>19</v>
      </c>
      <c r="B17" s="50" t="s">
        <v>5</v>
      </c>
      <c r="C17" s="56">
        <f>VLOOKUP(A17,'Key Ratios and IC'!$A$2:$D$32,4,)</f>
        <v>5.8887164291425612E-2</v>
      </c>
      <c r="D17" s="53">
        <v>5651049.5700000012</v>
      </c>
      <c r="E17" s="53">
        <v>2341175.8849999998</v>
      </c>
      <c r="F17" s="53">
        <v>138.15607818696884</v>
      </c>
      <c r="G17" s="53">
        <f t="shared" si="2"/>
        <v>333419.12421805179</v>
      </c>
      <c r="H17" s="53">
        <v>33779.397911720742</v>
      </c>
      <c r="I17" s="53">
        <v>365678.87</v>
      </c>
      <c r="J17" s="53">
        <f t="shared" si="3"/>
        <v>17286.59354216632</v>
      </c>
      <c r="K17" s="11">
        <f t="shared" si="4"/>
        <v>3091478.0267501259</v>
      </c>
      <c r="L17" s="53">
        <f>VLOOKUP(A17,'Direct Costs Allocation'!$A$2:$E$33,5,)</f>
        <v>1266960.8691365579</v>
      </c>
      <c r="M17" s="53">
        <v>148488.54</v>
      </c>
      <c r="N17" s="53">
        <v>85283.112865292438</v>
      </c>
      <c r="O17" s="12">
        <f t="shared" si="0"/>
        <v>1500732.5220018504</v>
      </c>
      <c r="P17" s="13">
        <f t="shared" si="1"/>
        <v>1590745.5047482755</v>
      </c>
      <c r="Q17" s="12">
        <f>VLOOKUP(A17,'Key Ratios and IC'!$A$2:$AG$33,28,)</f>
        <v>2847820.8262574887</v>
      </c>
      <c r="R17" s="11">
        <f>VLOOKUP(A17,'Key Ratios and IC'!$A$2:$AG$33,33,)</f>
        <v>540536.6219053953</v>
      </c>
      <c r="S17" s="13">
        <f t="shared" si="5"/>
        <v>-716538.69960381789</v>
      </c>
      <c r="T17">
        <f>VLOOKUP(A17,[15]Sheet3!$A$1:$D$43,3,)</f>
        <v>5050</v>
      </c>
      <c r="U17" s="45">
        <f t="shared" si="6"/>
        <v>529.65013174182934</v>
      </c>
    </row>
    <row r="18" spans="1:21" x14ac:dyDescent="0.2">
      <c r="A18" s="50" t="s">
        <v>20</v>
      </c>
      <c r="B18" s="50" t="s">
        <v>5</v>
      </c>
      <c r="C18" s="56">
        <f>VLOOKUP(A18,'Key Ratios and IC'!$A$2:$D$32,4,)</f>
        <v>2.7279996237241897E-2</v>
      </c>
      <c r="D18" s="53">
        <v>2485482.21</v>
      </c>
      <c r="E18" s="53">
        <v>1061107.9500000002</v>
      </c>
      <c r="F18" s="53">
        <v>2594.2641348441925</v>
      </c>
      <c r="G18" s="53">
        <f t="shared" si="2"/>
        <v>154459.33869526364</v>
      </c>
      <c r="H18" s="53">
        <v>8267.8304383188242</v>
      </c>
      <c r="I18" s="53">
        <v>141958.49</v>
      </c>
      <c r="J18" s="53">
        <f t="shared" si="3"/>
        <v>8008.1663374252921</v>
      </c>
      <c r="K18" s="11">
        <f t="shared" si="4"/>
        <v>1376396.0396058524</v>
      </c>
      <c r="L18" s="53">
        <f>VLOOKUP(A18,'Direct Costs Allocation'!$A$2:$E$33,5,)</f>
        <v>586930.7540728465</v>
      </c>
      <c r="M18" s="53">
        <v>16136.125625000001</v>
      </c>
      <c r="N18" s="53">
        <v>27535.354826462135</v>
      </c>
      <c r="O18" s="12">
        <f t="shared" si="0"/>
        <v>630602.23452430859</v>
      </c>
      <c r="P18" s="13">
        <f t="shared" si="1"/>
        <v>745793.80508154386</v>
      </c>
      <c r="Q18" s="12">
        <f>VLOOKUP(A18,'Key Ratios and IC'!$A$2:$AG$33,28,)</f>
        <v>1320503.5876016777</v>
      </c>
      <c r="R18" s="11">
        <f>VLOOKUP(A18,'Key Ratios and IC'!$A$2:$AG$33,33,)</f>
        <v>420822.16494476318</v>
      </c>
      <c r="S18" s="13">
        <f t="shared" si="5"/>
        <v>-153887.61757537071</v>
      </c>
      <c r="T18">
        <f>VLOOKUP(A18,[15]Sheet3!$A$1:$D$43,3,)</f>
        <v>2040</v>
      </c>
      <c r="U18" s="45">
        <f t="shared" si="6"/>
        <v>597.13801609319034</v>
      </c>
    </row>
    <row r="19" spans="1:21" x14ac:dyDescent="0.2">
      <c r="A19" s="50" t="s">
        <v>32</v>
      </c>
      <c r="B19" s="50" t="s">
        <v>7</v>
      </c>
      <c r="C19" s="56">
        <f>VLOOKUP(A19,'Key Ratios and IC'!$A$2:$D$32,4,)</f>
        <v>5.6411974977658621E-3</v>
      </c>
      <c r="D19" s="53">
        <v>4510227.43</v>
      </c>
      <c r="E19" s="53">
        <v>1640897.03</v>
      </c>
      <c r="F19" s="53">
        <v>7506.4802481586412</v>
      </c>
      <c r="G19" s="53">
        <f t="shared" si="2"/>
        <v>31940.46023235031</v>
      </c>
      <c r="H19" s="53">
        <v>10850.22583970808</v>
      </c>
      <c r="I19" s="53">
        <v>119108.57</v>
      </c>
      <c r="J19" s="53">
        <f t="shared" si="3"/>
        <v>1655.9990518878378</v>
      </c>
      <c r="K19" s="11">
        <f t="shared" si="4"/>
        <v>1811958.7653721047</v>
      </c>
      <c r="L19" s="53">
        <f>VLOOKUP(A19,'Direct Costs Allocation'!$A$2:$E$33,5,)</f>
        <v>748896.68761691358</v>
      </c>
      <c r="M19" s="53">
        <v>34200.012000000002</v>
      </c>
      <c r="N19" s="53">
        <v>26005.612891658682</v>
      </c>
      <c r="O19" s="12">
        <f t="shared" si="0"/>
        <v>809102.31250857224</v>
      </c>
      <c r="P19" s="13">
        <f t="shared" si="1"/>
        <v>1002856.4528635325</v>
      </c>
      <c r="Q19" s="12">
        <f>VLOOKUP(A19,'Key Ratios and IC'!$A$2:$AG$33,28,)</f>
        <v>306837.85998455971</v>
      </c>
      <c r="R19" s="11">
        <f>VLOOKUP(A19,'Key Ratios and IC'!$A$2:$AG$33,33,)</f>
        <v>370904.63519813155</v>
      </c>
      <c r="S19" s="13">
        <f t="shared" si="5"/>
        <v>1066923.2280771043</v>
      </c>
      <c r="T19">
        <f>VLOOKUP(A19,[15]Sheet3!$A$1:$D$43,3,)</f>
        <v>3226</v>
      </c>
      <c r="U19" s="45">
        <f t="shared" si="6"/>
        <v>520.87537832625821</v>
      </c>
    </row>
    <row r="20" spans="1:21" x14ac:dyDescent="0.2">
      <c r="A20" s="50" t="s">
        <v>38</v>
      </c>
      <c r="B20" s="50" t="s">
        <v>13</v>
      </c>
      <c r="C20" s="56">
        <f>VLOOKUP(A20,'Key Ratios and IC'!$A$2:$D$32,4,)</f>
        <v>9.7126193499835381E-2</v>
      </c>
      <c r="D20" s="53">
        <v>7168183.7900000019</v>
      </c>
      <c r="E20" s="53">
        <v>2849459.79</v>
      </c>
      <c r="F20" s="53">
        <v>1847.1979342776206</v>
      </c>
      <c r="G20" s="53">
        <f t="shared" si="2"/>
        <v>549928.50759606797</v>
      </c>
      <c r="H20" s="53">
        <v>34508.299839532221</v>
      </c>
      <c r="I20" s="53">
        <v>0</v>
      </c>
      <c r="J20" s="53">
        <f t="shared" si="3"/>
        <v>28511.833597902118</v>
      </c>
      <c r="K20" s="11">
        <f t="shared" si="4"/>
        <v>3464255.6289677802</v>
      </c>
      <c r="L20" s="53">
        <f>VLOOKUP(A20,'Direct Costs Allocation'!$A$2:$E$33,5,)-'[16]18-19 Faculty '!$M$23</f>
        <v>1204888.756403978</v>
      </c>
      <c r="M20" s="53">
        <v>34200.012000000002</v>
      </c>
      <c r="N20" s="53">
        <v>0</v>
      </c>
      <c r="O20" s="12">
        <f t="shared" si="0"/>
        <v>1239088.7684039781</v>
      </c>
      <c r="P20" s="13">
        <f t="shared" si="1"/>
        <v>2225166.8605638021</v>
      </c>
      <c r="Q20" s="12">
        <f>VLOOKUP(A20,'Key Ratios and IC'!$A$2:$AG$33,28,)</f>
        <v>4568590.9405820593</v>
      </c>
      <c r="R20" s="11">
        <f>VLOOKUP(A20,'Key Ratios and IC'!$A$2:$AG$33,33,)</f>
        <v>1072146.255993292</v>
      </c>
      <c r="S20" s="13">
        <f t="shared" si="5"/>
        <v>-1271277.8240249653</v>
      </c>
      <c r="T20">
        <f>VLOOKUP(A20,[15]Sheet3!$A$1:$D$43,3,)</f>
        <v>5287</v>
      </c>
      <c r="U20" s="45">
        <f t="shared" si="6"/>
        <v>643.3205022754579</v>
      </c>
    </row>
    <row r="21" spans="1:21" x14ac:dyDescent="0.2">
      <c r="A21" s="50" t="s">
        <v>21</v>
      </c>
      <c r="B21" s="50" t="s">
        <v>13</v>
      </c>
      <c r="C21" s="56">
        <f>VLOOKUP(A21,'Key Ratios and IC'!$A$2:$D$32,4,)</f>
        <v>9.7643572738817547E-2</v>
      </c>
      <c r="D21" s="53">
        <v>7136629.450000002</v>
      </c>
      <c r="E21" s="53">
        <v>2315631.4399999995</v>
      </c>
      <c r="F21" s="53">
        <v>8478.6896872521247</v>
      </c>
      <c r="G21" s="53">
        <f t="shared" si="2"/>
        <v>552857.90884718497</v>
      </c>
      <c r="H21" s="53">
        <v>43234.297203903981</v>
      </c>
      <c r="I21" s="53">
        <v>109334.11</v>
      </c>
      <c r="J21" s="53">
        <f t="shared" si="3"/>
        <v>28663.712614646389</v>
      </c>
      <c r="K21" s="11">
        <f t="shared" si="4"/>
        <v>3058200.1583529864</v>
      </c>
      <c r="L21" s="53">
        <f>VLOOKUP(A21,'Direct Costs Allocation'!$A$2:$E$33,5,)</f>
        <v>2673646.1725189015</v>
      </c>
      <c r="M21" s="53">
        <v>0</v>
      </c>
      <c r="N21" s="53">
        <v>30212.403212368175</v>
      </c>
      <c r="O21" s="12">
        <f t="shared" si="0"/>
        <v>2703858.5757312695</v>
      </c>
      <c r="P21" s="13">
        <f t="shared" si="1"/>
        <v>354341.58262171689</v>
      </c>
      <c r="Q21" s="12">
        <f>VLOOKUP(A21,'Key Ratios and IC'!$A$2:$AG$33,28,)</f>
        <v>4611645.995109438</v>
      </c>
      <c r="R21" s="11">
        <f>VLOOKUP(A21,'Key Ratios and IC'!$A$2:$AG$33,33,)</f>
        <v>1074728.3417267101</v>
      </c>
      <c r="S21" s="13">
        <f t="shared" si="5"/>
        <v>-3182576.070761011</v>
      </c>
      <c r="T21">
        <f>VLOOKUP(A21,[15]Sheet3!$A$1:$D$43,3,)</f>
        <v>6145</v>
      </c>
      <c r="U21" s="45">
        <f t="shared" si="6"/>
        <v>468.18031546532734</v>
      </c>
    </row>
    <row r="22" spans="1:21" x14ac:dyDescent="0.2">
      <c r="A22" s="50" t="s">
        <v>22</v>
      </c>
      <c r="B22" s="50" t="s">
        <v>7</v>
      </c>
      <c r="C22" s="56">
        <f>VLOOKUP(A22,'Key Ratios and IC'!$A$2:$D$32,4,)</f>
        <v>1.4954023799444991E-2</v>
      </c>
      <c r="D22" s="53">
        <v>6763131.6399999997</v>
      </c>
      <c r="E22" s="53">
        <v>2357182.2499999995</v>
      </c>
      <c r="F22" s="53">
        <v>10070.043032294618</v>
      </c>
      <c r="G22" s="53">
        <f t="shared" si="2"/>
        <v>84669.682752457535</v>
      </c>
      <c r="H22" s="53">
        <v>21533.845524487821</v>
      </c>
      <c r="I22" s="53">
        <v>153434.70000000001</v>
      </c>
      <c r="J22" s="53">
        <f t="shared" si="3"/>
        <v>4389.8213532847476</v>
      </c>
      <c r="K22" s="11">
        <f t="shared" si="4"/>
        <v>2631280.3426625244</v>
      </c>
      <c r="L22" s="53">
        <f>VLOOKUP(A22,'Direct Costs Allocation'!$A$2:$E$33,5,)</f>
        <v>930825.20710306522</v>
      </c>
      <c r="M22" s="53">
        <v>0</v>
      </c>
      <c r="N22" s="53">
        <v>41303.032239693195</v>
      </c>
      <c r="O22" s="12">
        <f t="shared" si="0"/>
        <v>972128.23934275843</v>
      </c>
      <c r="P22" s="13">
        <f t="shared" si="1"/>
        <v>1659152.103319766</v>
      </c>
      <c r="Q22" s="12">
        <f>VLOOKUP(A22,'Key Ratios and IC'!$A$2:$AG$33,28,)</f>
        <v>740840.86531933397</v>
      </c>
      <c r="R22" s="11">
        <f>VLOOKUP(A22,'Key Ratios and IC'!$A$2:$AG$33,33,)</f>
        <v>406177.64483831776</v>
      </c>
      <c r="S22" s="13">
        <f t="shared" si="5"/>
        <v>1324488.8828387498</v>
      </c>
      <c r="T22">
        <f>VLOOKUP(A22,[15]Sheet3!$A$1:$D$43,3,)</f>
        <v>5390</v>
      </c>
      <c r="U22" s="45">
        <f t="shared" si="6"/>
        <v>454.90203632370157</v>
      </c>
    </row>
    <row r="23" spans="1:21" x14ac:dyDescent="0.2">
      <c r="A23" s="50" t="s">
        <v>23</v>
      </c>
      <c r="B23" s="50" t="s">
        <v>7</v>
      </c>
      <c r="C23" s="56">
        <f>VLOOKUP(A23,'Key Ratios and IC'!$A$2:$D$32,4,)</f>
        <v>1.2931541319787401E-2</v>
      </c>
      <c r="D23" s="53">
        <v>2435265.14</v>
      </c>
      <c r="E23" s="53">
        <v>749154.38500000001</v>
      </c>
      <c r="F23" s="53">
        <v>501.45539490084985</v>
      </c>
      <c r="G23" s="53">
        <f t="shared" si="2"/>
        <v>73218.386952636269</v>
      </c>
      <c r="H23" s="53">
        <v>8413.6108238811212</v>
      </c>
      <c r="I23" s="53">
        <v>82456</v>
      </c>
      <c r="J23" s="53">
        <f t="shared" si="3"/>
        <v>3796.1124696480442</v>
      </c>
      <c r="K23" s="11">
        <f t="shared" si="4"/>
        <v>917539.9506410663</v>
      </c>
      <c r="L23" s="53">
        <f>VLOOKUP(A23,'Direct Costs Allocation'!$A$2:$E$33,5,)</f>
        <v>408909.37743971258</v>
      </c>
      <c r="M23" s="53">
        <v>148488.54</v>
      </c>
      <c r="N23" s="53">
        <v>37861.112886385425</v>
      </c>
      <c r="O23" s="12">
        <f t="shared" si="0"/>
        <v>595259.03032609797</v>
      </c>
      <c r="P23" s="13">
        <f t="shared" si="1"/>
        <v>322280.92031496833</v>
      </c>
      <c r="Q23" s="12">
        <f>VLOOKUP(A23,'Key Ratios and IC'!$A$2:$AG$33,28,)</f>
        <v>625073.49005310319</v>
      </c>
      <c r="R23" s="11">
        <f>VLOOKUP(A23,'Key Ratios and IC'!$A$2:$AG$33,33,)</f>
        <v>398517.34476494399</v>
      </c>
      <c r="S23" s="13">
        <f t="shared" si="5"/>
        <v>95724.775026809133</v>
      </c>
      <c r="T23">
        <f>VLOOKUP(A23,[15]Sheet3!$A$1:$D$43,3,)</f>
        <v>1667.5</v>
      </c>
      <c r="U23" s="45">
        <f t="shared" si="6"/>
        <v>493.47779750976741</v>
      </c>
    </row>
    <row r="24" spans="1:21" x14ac:dyDescent="0.2">
      <c r="A24" s="50" t="s">
        <v>24</v>
      </c>
      <c r="B24" s="50" t="s">
        <v>7</v>
      </c>
      <c r="C24" s="56">
        <f>VLOOKUP(A24,'Key Ratios and IC'!$A$2:$D$32,4,)</f>
        <v>2.5677884389257319E-2</v>
      </c>
      <c r="D24" s="53">
        <v>2598678.09</v>
      </c>
      <c r="E24" s="53">
        <v>848235.9099999998</v>
      </c>
      <c r="F24" s="53">
        <v>5075.9566504249287</v>
      </c>
      <c r="G24" s="53">
        <f t="shared" si="2"/>
        <v>145388.18141197495</v>
      </c>
      <c r="H24" s="53">
        <v>9350.7704453530278</v>
      </c>
      <c r="I24" s="53">
        <v>73403.08</v>
      </c>
      <c r="J24" s="53">
        <f t="shared" si="3"/>
        <v>7537.8591548933091</v>
      </c>
      <c r="K24" s="11">
        <f t="shared" si="4"/>
        <v>1088991.757662646</v>
      </c>
      <c r="L24" s="53">
        <f>VLOOKUP(A24,'Direct Costs Allocation'!$A$2:$E$33,5,)</f>
        <v>545092.43162443233</v>
      </c>
      <c r="M24" s="53">
        <v>16136.125625000001</v>
      </c>
      <c r="N24" s="53">
        <v>17974.467733940557</v>
      </c>
      <c r="O24" s="12">
        <f t="shared" si="0"/>
        <v>579203.02498337289</v>
      </c>
      <c r="P24" s="13">
        <f t="shared" si="1"/>
        <v>509788.73267927312</v>
      </c>
      <c r="Q24" s="12">
        <f>VLOOKUP(A24,'Key Ratios and IC'!$A$2:$AG$33,28,)</f>
        <v>1191825.827754023</v>
      </c>
      <c r="R24" s="11">
        <f>VLOOKUP(A24,'Key Ratios and IC'!$A$2:$AG$33,33,)</f>
        <v>446795.04987853224</v>
      </c>
      <c r="S24" s="13">
        <f t="shared" si="5"/>
        <v>-235242.04519621766</v>
      </c>
      <c r="T24">
        <f>VLOOKUP(A24,[15]Sheet3!$A$1:$D$43,3,)</f>
        <v>2035</v>
      </c>
      <c r="U24" s="45">
        <f t="shared" si="6"/>
        <v>490.76169437955758</v>
      </c>
    </row>
    <row r="25" spans="1:21" x14ac:dyDescent="0.2">
      <c r="A25" s="50" t="s">
        <v>25</v>
      </c>
      <c r="B25" s="50" t="s">
        <v>7</v>
      </c>
      <c r="C25" s="56">
        <f>VLOOKUP(A25,'Key Ratios and IC'!$A$2:$D$32,4,)</f>
        <v>7.6145877428154846E-2</v>
      </c>
      <c r="D25" s="53">
        <v>6274255.0999999996</v>
      </c>
      <c r="E25" s="53">
        <v>2248479.7699999996</v>
      </c>
      <c r="F25" s="53">
        <v>2067.22428101983</v>
      </c>
      <c r="G25" s="53">
        <f t="shared" si="2"/>
        <v>431137.95799821272</v>
      </c>
      <c r="H25" s="53">
        <v>20617.511672381956</v>
      </c>
      <c r="I25" s="53">
        <v>127375.03</v>
      </c>
      <c r="J25" s="53">
        <f t="shared" si="3"/>
        <v>22352.966879130105</v>
      </c>
      <c r="K25" s="11">
        <f t="shared" si="4"/>
        <v>2852030.4608307439</v>
      </c>
      <c r="L25" s="53">
        <f>VLOOKUP(A25,'Direct Costs Allocation'!$A$2:$E$33,5,)</f>
        <v>747441.94242618652</v>
      </c>
      <c r="M25" s="53">
        <v>16136.125625000001</v>
      </c>
      <c r="N25" s="53">
        <v>33654.322565675939</v>
      </c>
      <c r="O25" s="12">
        <f t="shared" si="0"/>
        <v>797232.39061686245</v>
      </c>
      <c r="P25" s="13">
        <f t="shared" si="1"/>
        <v>2054798.0702138813</v>
      </c>
      <c r="Q25" s="12">
        <f>VLOOKUP(A25,'Key Ratios and IC'!$A$2:$AG$33,28,)</f>
        <v>3450882.6485777195</v>
      </c>
      <c r="R25" s="11">
        <f>VLOOKUP(A25,'Key Ratios and IC'!$A$2:$AG$33,33,)</f>
        <v>637946.25868620817</v>
      </c>
      <c r="S25" s="13">
        <f t="shared" si="5"/>
        <v>-758138.31967762997</v>
      </c>
      <c r="T25">
        <f>VLOOKUP(A25,[15]Sheet3!$A$1:$D$43,3,)</f>
        <v>4830</v>
      </c>
      <c r="U25" s="45">
        <f t="shared" si="6"/>
        <v>555.21427583420962</v>
      </c>
    </row>
    <row r="26" spans="1:21" x14ac:dyDescent="0.2">
      <c r="A26" s="50" t="s">
        <v>26</v>
      </c>
      <c r="B26" s="50" t="s">
        <v>7</v>
      </c>
      <c r="C26" s="56">
        <f>VLOOKUP(A26,'Key Ratios and IC'!$A$2:$D$32,4,)</f>
        <v>3.1954047316683125E-3</v>
      </c>
      <c r="D26" s="53">
        <v>5828791.4100000011</v>
      </c>
      <c r="E26" s="53">
        <v>1956923.4749999999</v>
      </c>
      <c r="F26" s="53">
        <v>1842.0810424929177</v>
      </c>
      <c r="G26" s="53">
        <f t="shared" si="2"/>
        <v>18092.381590705987</v>
      </c>
      <c r="H26" s="53">
        <v>23012.475149476828</v>
      </c>
      <c r="I26" s="53">
        <v>111023.5</v>
      </c>
      <c r="J26" s="53">
        <f t="shared" si="3"/>
        <v>938.02551818763914</v>
      </c>
      <c r="K26" s="11">
        <f t="shared" si="4"/>
        <v>2111831.9383008634</v>
      </c>
      <c r="L26" s="53">
        <f>VLOOKUP(A26,'Direct Costs Allocation'!$A$2:$E$33,5,)</f>
        <v>754040.12749227416</v>
      </c>
      <c r="M26" s="53">
        <v>16136.125625000001</v>
      </c>
      <c r="N26" s="53">
        <v>27917.790310162996</v>
      </c>
      <c r="O26" s="12">
        <f t="shared" si="0"/>
        <v>798094.04342743719</v>
      </c>
      <c r="P26" s="13">
        <f t="shared" si="1"/>
        <v>1313737.8948734263</v>
      </c>
      <c r="Q26" s="12">
        <f>VLOOKUP(A26,'Key Ratios and IC'!$A$2:$AG$33,28,)</f>
        <v>222674.30211750243</v>
      </c>
      <c r="R26" s="11">
        <f>VLOOKUP(A26,'Key Ratios and IC'!$A$2:$AG$33,33,)</f>
        <v>361641.01650474931</v>
      </c>
      <c r="S26" s="13">
        <f t="shared" si="5"/>
        <v>1452704.6092606732</v>
      </c>
      <c r="T26">
        <f>VLOOKUP(A26,[15]Sheet3!$A$1:$D$43,3,)</f>
        <v>4884</v>
      </c>
      <c r="U26" s="45">
        <f t="shared" si="6"/>
        <v>404.76206749246495</v>
      </c>
    </row>
    <row r="27" spans="1:21" x14ac:dyDescent="0.2">
      <c r="A27" s="50" t="s">
        <v>35</v>
      </c>
      <c r="B27" s="50" t="s">
        <v>13</v>
      </c>
      <c r="C27" s="56">
        <f>VLOOKUP(A27,'Key Ratios and IC'!$A$2:$D$32,4,)</f>
        <v>6.2489999999999997E-2</v>
      </c>
      <c r="D27" s="53">
        <v>4714979.2799999993</v>
      </c>
      <c r="E27" s="53">
        <v>1771987.3149999999</v>
      </c>
      <c r="F27" s="53">
        <v>4594.9688226628896</v>
      </c>
      <c r="G27" s="53">
        <f t="shared" si="2"/>
        <v>353818.38</v>
      </c>
      <c r="H27" s="53">
        <v>17493.6462674756</v>
      </c>
      <c r="I27" s="53">
        <v>44538.42</v>
      </c>
      <c r="J27" s="53">
        <f t="shared" si="3"/>
        <v>18344.222267249905</v>
      </c>
      <c r="K27" s="11">
        <f t="shared" si="4"/>
        <v>2210776.9523573886</v>
      </c>
      <c r="L27" s="53">
        <f>VLOOKUP(A27,'Direct Costs Allocation'!$A$2:$E$33,5,)-'[16]18-19 Faculty '!$M$22</f>
        <v>949894.72384034097</v>
      </c>
      <c r="M27" s="53">
        <v>16136.125625000001</v>
      </c>
      <c r="N27" s="53">
        <v>15679.85483173538</v>
      </c>
      <c r="O27" s="12">
        <f t="shared" si="0"/>
        <v>981710.70429707633</v>
      </c>
      <c r="P27" s="13">
        <f t="shared" si="1"/>
        <v>1229066.2480603121</v>
      </c>
      <c r="Q27" s="12">
        <f>VLOOKUP(A27,'Key Ratios and IC'!$A$2:$AG$33,28,)</f>
        <v>2803111.0268879407</v>
      </c>
      <c r="R27" s="11">
        <f>VLOOKUP(A27,'Key Ratios and IC'!$A$2:$AG$33,33,)</f>
        <v>697069.22895202856</v>
      </c>
      <c r="S27" s="13">
        <f t="shared" si="5"/>
        <v>-876975.54987560003</v>
      </c>
      <c r="T27">
        <f>VLOOKUP(A27,[15]Sheet3!$A$1:$D$43,3,)-T33</f>
        <v>3080</v>
      </c>
      <c r="U27" s="45">
        <f t="shared" si="6"/>
        <v>691.68852721515032</v>
      </c>
    </row>
    <row r="28" spans="1:21" x14ac:dyDescent="0.2">
      <c r="A28" s="50" t="s">
        <v>33</v>
      </c>
      <c r="B28" s="50" t="s">
        <v>11</v>
      </c>
      <c r="C28" s="56">
        <f>VLOOKUP(A28,'Key Ratios and IC'!$A$2:$D$32,4,)</f>
        <v>3.3300409199943558E-2</v>
      </c>
      <c r="D28" s="53">
        <v>3602593.84</v>
      </c>
      <c r="E28" s="53">
        <v>3304694.7149999999</v>
      </c>
      <c r="F28" s="53">
        <v>4405.6438266288951</v>
      </c>
      <c r="G28" s="53">
        <f t="shared" si="2"/>
        <v>188546.91689008044</v>
      </c>
      <c r="H28" s="53">
        <v>16806.395878396197</v>
      </c>
      <c r="I28" s="53">
        <v>0</v>
      </c>
      <c r="J28" s="53">
        <f t="shared" si="3"/>
        <v>9775.4858049950108</v>
      </c>
      <c r="K28" s="11">
        <f t="shared" si="4"/>
        <v>3524229.1574001005</v>
      </c>
      <c r="L28" s="53">
        <f>VLOOKUP(A28,'Direct Costs Allocation'!$A$2:$E$33,5,)</f>
        <v>1955265.5768801342</v>
      </c>
      <c r="M28" s="53">
        <v>16136.125625000001</v>
      </c>
      <c r="N28" s="53">
        <v>0</v>
      </c>
      <c r="O28" s="12">
        <f t="shared" si="0"/>
        <v>1971401.7025051343</v>
      </c>
      <c r="P28" s="13">
        <f t="shared" si="1"/>
        <v>1552827.4548949662</v>
      </c>
      <c r="Q28" s="12">
        <f>VLOOKUP(A28,'Key Ratios and IC'!$A$2:$AG$33,28,)</f>
        <v>1457699.9799137402</v>
      </c>
      <c r="R28" s="11">
        <f>VLOOKUP(A28,'Key Ratios and IC'!$A$2:$AG$33,33,)</f>
        <v>126127.73144066596</v>
      </c>
      <c r="S28" s="13">
        <f t="shared" si="5"/>
        <v>221255.20642189198</v>
      </c>
      <c r="T28">
        <f>VLOOKUP(A28,[15]Sheet3!$A$1:$D$43,3,)</f>
        <v>4533</v>
      </c>
      <c r="U28" s="45">
        <f t="shared" si="6"/>
        <v>771.59657527392665</v>
      </c>
    </row>
    <row r="29" spans="1:21" x14ac:dyDescent="0.2">
      <c r="A29" s="50" t="s">
        <v>27</v>
      </c>
      <c r="B29" s="50" t="s">
        <v>7</v>
      </c>
      <c r="C29" s="56">
        <f>VLOOKUP(A29,'Key Ratios and IC'!$A$2:$D$32,4,)</f>
        <v>1.8246437138422458E-2</v>
      </c>
      <c r="D29" s="53">
        <v>2586024.8300000005</v>
      </c>
      <c r="E29" s="53">
        <v>918045.91000000015</v>
      </c>
      <c r="F29" s="53">
        <v>2031.4060385269122</v>
      </c>
      <c r="G29" s="53">
        <f t="shared" si="2"/>
        <v>103311.32707774796</v>
      </c>
      <c r="H29" s="53">
        <v>9017.5581354963506</v>
      </c>
      <c r="I29" s="53">
        <v>51594.83</v>
      </c>
      <c r="J29" s="53">
        <f t="shared" si="3"/>
        <v>5356.3241871119371</v>
      </c>
      <c r="K29" s="11">
        <f t="shared" si="4"/>
        <v>1089357.3554388834</v>
      </c>
      <c r="L29" s="53">
        <f>VLOOKUP(A29,'Direct Costs Allocation'!$A$2:$E$33,5,)</f>
        <v>455390.15992225293</v>
      </c>
      <c r="M29" s="53">
        <v>16136.125625000001</v>
      </c>
      <c r="N29" s="53">
        <v>13002.806445829341</v>
      </c>
      <c r="O29" s="12">
        <f t="shared" si="0"/>
        <v>484529.09199308226</v>
      </c>
      <c r="P29" s="13">
        <f t="shared" si="1"/>
        <v>604828.2634458011</v>
      </c>
      <c r="Q29" s="12">
        <f>VLOOKUP(A29,'Key Ratios and IC'!$A$2:$AG$33,28,)</f>
        <v>861819.23166158656</v>
      </c>
      <c r="R29" s="11">
        <f>VLOOKUP(A29,'Key Ratios and IC'!$A$2:$AG$33,33,)</f>
        <v>418647.90077171696</v>
      </c>
      <c r="S29" s="13">
        <f t="shared" si="5"/>
        <v>161656.9325559315</v>
      </c>
      <c r="T29">
        <f>VLOOKUP(A29,[15]Sheet3!$A$1:$D$43,3,)</f>
        <v>2099</v>
      </c>
      <c r="U29" s="45">
        <f t="shared" si="6"/>
        <v>487.56009676811578</v>
      </c>
    </row>
    <row r="30" spans="1:21" x14ac:dyDescent="0.2">
      <c r="A30" s="50" t="s">
        <v>28</v>
      </c>
      <c r="B30" s="50" t="s">
        <v>13</v>
      </c>
      <c r="C30" s="56">
        <f>VLOOKUP(A30,'Key Ratios and IC'!$A$2:$D$32,4,)</f>
        <v>8.3721367762569967E-3</v>
      </c>
      <c r="D30" s="53">
        <v>1705718.3800000001</v>
      </c>
      <c r="E30" s="53">
        <v>629414.3550000001</v>
      </c>
      <c r="F30" s="53">
        <v>1325.2749722379604</v>
      </c>
      <c r="G30" s="53">
        <f t="shared" si="2"/>
        <v>47403.038427167114</v>
      </c>
      <c r="H30" s="53">
        <v>5393.8742658049769</v>
      </c>
      <c r="I30" s="53">
        <v>20760</v>
      </c>
      <c r="J30" s="53">
        <f t="shared" si="3"/>
        <v>2457.6786345891414</v>
      </c>
      <c r="K30" s="11">
        <f t="shared" si="4"/>
        <v>706754.22129979939</v>
      </c>
      <c r="L30" s="53">
        <f>VLOOKUP(A30,'Direct Costs Allocation'!$A$2:$E$33,5,)</f>
        <v>295447.97127140401</v>
      </c>
      <c r="M30" s="53">
        <v>0</v>
      </c>
      <c r="N30" s="53">
        <v>3824.3548370086301</v>
      </c>
      <c r="O30" s="12">
        <f t="shared" si="0"/>
        <v>299272.32610841264</v>
      </c>
      <c r="P30" s="13">
        <f t="shared" si="1"/>
        <v>407481.89519138675</v>
      </c>
      <c r="Q30" s="12">
        <f>VLOOKUP(A30,'Key Ratios and IC'!$A$2:$AG$33,28,)</f>
        <v>452723.24818188674</v>
      </c>
      <c r="R30" s="11">
        <f>VLOOKUP(A30,'Key Ratios and IC'!$A$2:$AG$33,33,)</f>
        <v>629201.18517870072</v>
      </c>
      <c r="S30" s="13">
        <f t="shared" si="5"/>
        <v>583959.83218820067</v>
      </c>
      <c r="T30">
        <f>VLOOKUP(A30,[15]Sheet3!$A$1:$D$43,3,)</f>
        <v>1379</v>
      </c>
      <c r="U30" s="45">
        <f t="shared" si="6"/>
        <v>491.76408150790803</v>
      </c>
    </row>
    <row r="31" spans="1:21" x14ac:dyDescent="0.2">
      <c r="A31" s="50" t="s">
        <v>39</v>
      </c>
      <c r="B31" s="50" t="s">
        <v>7</v>
      </c>
      <c r="C31" s="56">
        <f>VLOOKUP(A31,'Key Ratios and IC'!$A$2:$D$32,4,)</f>
        <v>4.5123700672593005E-3</v>
      </c>
      <c r="D31" s="53">
        <v>361477.98</v>
      </c>
      <c r="E31" s="53">
        <v>70468.634999999995</v>
      </c>
      <c r="F31" s="53">
        <v>240.49391388101981</v>
      </c>
      <c r="G31" s="53">
        <f t="shared" si="2"/>
        <v>25549.039320822158</v>
      </c>
      <c r="H31" s="53">
        <v>1770.1903961136022</v>
      </c>
      <c r="I31" s="53">
        <v>88344</v>
      </c>
      <c r="J31" s="53">
        <f t="shared" si="3"/>
        <v>1324.6266517185152</v>
      </c>
      <c r="K31" s="11">
        <f t="shared" si="4"/>
        <v>187696.98528253526</v>
      </c>
      <c r="L31" s="53">
        <f>VLOOKUP(A31,'Direct Costs Allocation'!$A$2:$E$33,5,)</f>
        <v>14205.159602050915</v>
      </c>
      <c r="M31" s="53">
        <v>16136.125625000001</v>
      </c>
      <c r="N31" s="53">
        <v>27535.354826462135</v>
      </c>
      <c r="O31" s="12">
        <f t="shared" si="0"/>
        <v>57876.640053513052</v>
      </c>
      <c r="P31" s="13">
        <f t="shared" si="1"/>
        <v>129820.3452290222</v>
      </c>
      <c r="Q31" s="12">
        <f>VLOOKUP(A31,'Key Ratios and IC'!$A$2:$AG$33,28,)</f>
        <v>225801.37041542341</v>
      </c>
      <c r="R31" s="11">
        <f>VLOOKUP(A31,'Key Ratios and IC'!$A$2:$AG$33,33,)</f>
        <v>366629.11887810897</v>
      </c>
      <c r="S31" s="13">
        <f t="shared" si="5"/>
        <v>270648.09369170776</v>
      </c>
      <c r="T31">
        <f>VLOOKUP(A31,[15]Sheet3!$A$1:$D$43,3,)</f>
        <v>579</v>
      </c>
      <c r="U31" s="45">
        <f t="shared" si="6"/>
        <v>166.24899522401236</v>
      </c>
    </row>
    <row r="32" spans="1:21" x14ac:dyDescent="0.2">
      <c r="A32" s="50" t="s">
        <v>34</v>
      </c>
      <c r="B32" s="50" t="s">
        <v>13</v>
      </c>
      <c r="C32" s="56">
        <f>VLOOKUP(A32,'Key Ratios and IC'!$A$2:$D$32,4,)</f>
        <v>2.695075490334415E-2</v>
      </c>
      <c r="D32" s="53">
        <v>2238586.52</v>
      </c>
      <c r="E32" s="53">
        <v>771948.9800000001</v>
      </c>
      <c r="F32" s="53">
        <v>2338.4195456090652</v>
      </c>
      <c r="G32" s="53">
        <f t="shared" si="2"/>
        <v>152595.17426273457</v>
      </c>
      <c r="H32" s="53">
        <v>9517.3766002813663</v>
      </c>
      <c r="I32" s="53">
        <v>0</v>
      </c>
      <c r="J32" s="53">
        <f t="shared" si="3"/>
        <v>7911.5160540425723</v>
      </c>
      <c r="K32" s="11">
        <f t="shared" si="4"/>
        <v>944311.46646266768</v>
      </c>
      <c r="L32" s="53">
        <f>VLOOKUP(A32,'Direct Costs Allocation'!$A$2:$E$33,5,)</f>
        <v>426638.02128136525</v>
      </c>
      <c r="M32" s="53">
        <v>0</v>
      </c>
      <c r="N32" s="53">
        <v>0</v>
      </c>
      <c r="O32" s="12">
        <f t="shared" si="0"/>
        <v>426638.02128136525</v>
      </c>
      <c r="P32" s="13">
        <f t="shared" si="1"/>
        <v>517673.44518130244</v>
      </c>
      <c r="Q32" s="12">
        <f>VLOOKUP(A32,'Key Ratios and IC'!$A$2:$AG$33,28,)</f>
        <v>1310359.1915296193</v>
      </c>
      <c r="R32" s="11">
        <f>VLOOKUP(A32,'Key Ratios and IC'!$A$2:$AG$33,33,)</f>
        <v>721921.53651508829</v>
      </c>
      <c r="S32" s="13">
        <f t="shared" si="5"/>
        <v>-70764.209833228495</v>
      </c>
      <c r="T32">
        <f>VLOOKUP(A32,[15]Sheet3!$A$1:$D$43,3,)</f>
        <v>1885</v>
      </c>
      <c r="U32" s="45">
        <f t="shared" si="6"/>
        <v>491.71489326702584</v>
      </c>
    </row>
    <row r="33" spans="1:21" x14ac:dyDescent="0.2">
      <c r="A33" s="50" t="s">
        <v>346</v>
      </c>
      <c r="B33" s="50" t="s">
        <v>13</v>
      </c>
      <c r="C33" s="56">
        <f>VLOOKUP(A33,'Key Ratios and IC'!$A$2:$D$33,4,)</f>
        <v>1.1871506984619648E-2</v>
      </c>
      <c r="D33" s="53">
        <v>1804217.78</v>
      </c>
      <c r="E33" s="53">
        <v>634770.02</v>
      </c>
      <c r="F33" s="53">
        <v>0</v>
      </c>
      <c r="G33" s="53">
        <f t="shared" si="2"/>
        <v>67216.472546916455</v>
      </c>
      <c r="H33" s="53">
        <v>0</v>
      </c>
      <c r="I33" s="53">
        <v>0</v>
      </c>
      <c r="J33" s="53">
        <f t="shared" si="3"/>
        <v>3484.9345939041855</v>
      </c>
      <c r="K33" s="11">
        <f t="shared" si="4"/>
        <v>705471.42714082066</v>
      </c>
      <c r="L33" s="53">
        <f>'[16]18-19 Faculty '!$L$15</f>
        <v>241435</v>
      </c>
      <c r="M33" s="53">
        <v>0</v>
      </c>
      <c r="N33" s="53">
        <v>0</v>
      </c>
      <c r="O33" s="12">
        <f t="shared" si="0"/>
        <v>241435</v>
      </c>
      <c r="P33" s="13">
        <f t="shared" si="1"/>
        <v>464036.42714082066</v>
      </c>
      <c r="Q33" s="12">
        <f>VLOOKUP(A33,'Key Ratios and IC'!$A$2:$AG$33,28,)</f>
        <v>552598.47806169826</v>
      </c>
      <c r="R33" s="11">
        <f>VLOOKUP(A33,'Key Ratios and IC'!$A$2:$AG$33,33,)</f>
        <v>153434.43332668694</v>
      </c>
      <c r="S33" s="13">
        <f t="shared" si="5"/>
        <v>64872.382405809331</v>
      </c>
      <c r="T33">
        <v>585</v>
      </c>
      <c r="U33" s="45">
        <f t="shared" si="6"/>
        <v>1199.9769103366093</v>
      </c>
    </row>
    <row r="34" spans="1:21" x14ac:dyDescent="0.2">
      <c r="A34" s="51" t="s">
        <v>29</v>
      </c>
      <c r="B34" s="51"/>
      <c r="C34" s="61">
        <f t="shared" ref="C34:I34" si="7">SUM(C2:C33)</f>
        <v>1</v>
      </c>
      <c r="D34" s="52">
        <f t="shared" si="7"/>
        <v>131762941.78000002</v>
      </c>
      <c r="E34" s="52">
        <f t="shared" si="7"/>
        <v>55669543.644999966</v>
      </c>
      <c r="F34" s="52">
        <f t="shared" si="7"/>
        <v>90313.14</v>
      </c>
      <c r="G34" s="52">
        <f t="shared" si="7"/>
        <v>5661999.9999999991</v>
      </c>
      <c r="H34" s="52">
        <f t="shared" si="7"/>
        <v>473702.95</v>
      </c>
      <c r="I34" s="52">
        <f t="shared" si="7"/>
        <v>3463885.7399999998</v>
      </c>
      <c r="J34" s="52">
        <v>293554.52499999851</v>
      </c>
      <c r="K34" s="52">
        <f t="shared" ref="K34:T34" si="8">SUM(K2:K33)</f>
        <v>65652999.99999997</v>
      </c>
      <c r="L34" s="52">
        <f t="shared" si="8"/>
        <v>28400282.751356523</v>
      </c>
      <c r="M34" s="52">
        <f t="shared" si="8"/>
        <v>874643.68999999983</v>
      </c>
      <c r="N34" s="52">
        <f t="shared" si="8"/>
        <v>797760.41900000011</v>
      </c>
      <c r="O34" s="52">
        <f t="shared" si="8"/>
        <v>30072686.860356528</v>
      </c>
      <c r="P34" s="52">
        <f t="shared" si="8"/>
        <v>35580313.139643461</v>
      </c>
      <c r="Q34" s="52">
        <f t="shared" si="8"/>
        <v>48883363.693762675</v>
      </c>
      <c r="R34" s="52">
        <f t="shared" si="8"/>
        <v>14772969.14855583</v>
      </c>
      <c r="S34" s="52">
        <f t="shared" si="8"/>
        <v>1469918.594436618</v>
      </c>
      <c r="T34" s="62">
        <f t="shared" si="8"/>
        <v>103345.5</v>
      </c>
      <c r="U34" s="45">
        <f t="shared" ref="U34" si="9">(E34+F34+G34)/T34</f>
        <v>594.33508749776206</v>
      </c>
    </row>
    <row r="37" spans="1:21" hidden="1" x14ac:dyDescent="0.2"/>
    <row r="38" spans="1:21" hidden="1" x14ac:dyDescent="0.2">
      <c r="A38" t="s">
        <v>64</v>
      </c>
      <c r="B38" s="57">
        <v>5662000</v>
      </c>
      <c r="C38" s="9"/>
      <c r="D38">
        <v>0.99999849301538035</v>
      </c>
      <c r="E38">
        <f>1-D38</f>
        <v>1.5069846196480441E-6</v>
      </c>
    </row>
    <row r="39" spans="1:21" hidden="1" x14ac:dyDescent="0.2">
      <c r="A39" t="s">
        <v>72</v>
      </c>
      <c r="B39" s="58">
        <v>473702.94999999995</v>
      </c>
      <c r="E39" s="42">
        <f>K34-G34</f>
        <v>59990999.99999997</v>
      </c>
    </row>
    <row r="40" spans="1:21" hidden="1" x14ac:dyDescent="0.2">
      <c r="A40" t="s">
        <v>76</v>
      </c>
      <c r="B40" s="59">
        <v>293554.52499999851</v>
      </c>
    </row>
    <row r="41" spans="1:21" hidden="1" x14ac:dyDescent="0.2">
      <c r="A41" t="s">
        <v>348</v>
      </c>
      <c r="B41" s="60">
        <v>1.1868096514745307E-2</v>
      </c>
    </row>
    <row r="42" spans="1:21" hidden="1" x14ac:dyDescent="0.2">
      <c r="B42" s="42"/>
    </row>
    <row r="43" spans="1:21" x14ac:dyDescent="0.2">
      <c r="B43" s="42"/>
    </row>
  </sheetData>
  <autoFilter ref="A1:S34" xr:uid="{A1FCA23E-A621-4346-9A87-2DE28B2818E3}"/>
  <pageMargins left="0.7" right="0.7" top="0.75" bottom="0.75" header="0.3" footer="0.3"/>
  <ignoredErrors>
    <ignoredError sqref="L20 L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B3E-750E-7940-908C-8A6F3BC6DA63}">
  <dimension ref="A1:C25"/>
  <sheetViews>
    <sheetView workbookViewId="0">
      <selection activeCell="B2" sqref="B2"/>
    </sheetView>
  </sheetViews>
  <sheetFormatPr baseColWidth="10" defaultRowHeight="16" x14ac:dyDescent="0.2"/>
  <cols>
    <col min="1" max="1" width="27.33203125" bestFit="1" customWidth="1"/>
    <col min="2" max="2" width="11.6640625" bestFit="1" customWidth="1"/>
    <col min="3" max="3" width="12.1640625" bestFit="1" customWidth="1"/>
  </cols>
  <sheetData>
    <row r="1" spans="1:3" x14ac:dyDescent="0.2">
      <c r="A1" t="s">
        <v>0</v>
      </c>
      <c r="B1" t="s">
        <v>2</v>
      </c>
      <c r="C1" t="s">
        <v>67</v>
      </c>
    </row>
    <row r="2" spans="1:3" x14ac:dyDescent="0.2">
      <c r="A2" t="s">
        <v>4</v>
      </c>
      <c r="B2">
        <v>86850</v>
      </c>
      <c r="C2">
        <v>20269.080636145736</v>
      </c>
    </row>
    <row r="3" spans="1:3" x14ac:dyDescent="0.2">
      <c r="A3" t="s">
        <v>6</v>
      </c>
      <c r="B3">
        <v>146265.74</v>
      </c>
      <c r="C3">
        <v>36331.370951581979</v>
      </c>
    </row>
    <row r="4" spans="1:3" x14ac:dyDescent="0.2">
      <c r="A4" t="s">
        <v>8</v>
      </c>
      <c r="B4">
        <v>186750.02</v>
      </c>
      <c r="C4">
        <v>54305.83868552254</v>
      </c>
    </row>
    <row r="5" spans="1:3" x14ac:dyDescent="0.2">
      <c r="A5" t="s">
        <v>31</v>
      </c>
      <c r="B5">
        <v>732025.67999999993</v>
      </c>
      <c r="C5">
        <v>102492.70963183127</v>
      </c>
    </row>
    <row r="6" spans="1:3" x14ac:dyDescent="0.2">
      <c r="A6" t="s">
        <v>36</v>
      </c>
      <c r="B6">
        <v>45366</v>
      </c>
      <c r="C6">
        <v>12237.935478427613</v>
      </c>
    </row>
    <row r="7" spans="1:3" x14ac:dyDescent="0.2">
      <c r="A7" t="s">
        <v>10</v>
      </c>
      <c r="B7">
        <v>196326.61999999997</v>
      </c>
      <c r="C7">
        <v>36713.806435282844</v>
      </c>
    </row>
    <row r="8" spans="1:3" x14ac:dyDescent="0.2">
      <c r="A8" t="s">
        <v>37</v>
      </c>
      <c r="B8">
        <v>115472.34</v>
      </c>
      <c r="C8">
        <v>36331.370951581979</v>
      </c>
    </row>
    <row r="9" spans="1:3" x14ac:dyDescent="0.2">
      <c r="A9" t="s">
        <v>15</v>
      </c>
      <c r="B9">
        <v>202970.27</v>
      </c>
      <c r="C9">
        <v>53540.967718120817</v>
      </c>
    </row>
    <row r="10" spans="1:3" x14ac:dyDescent="0.2">
      <c r="A10" t="s">
        <v>16</v>
      </c>
      <c r="B10">
        <v>132969.9</v>
      </c>
      <c r="C10">
        <v>29829.967728667314</v>
      </c>
    </row>
    <row r="11" spans="1:3" x14ac:dyDescent="0.2">
      <c r="A11" t="s">
        <v>17</v>
      </c>
      <c r="B11">
        <v>108427.56999999999</v>
      </c>
      <c r="C11">
        <v>23710.999989453503</v>
      </c>
    </row>
    <row r="12" spans="1:3" x14ac:dyDescent="0.2">
      <c r="A12" t="s">
        <v>30</v>
      </c>
      <c r="B12">
        <v>21452</v>
      </c>
      <c r="C12">
        <v>4206.7903207094923</v>
      </c>
    </row>
    <row r="13" spans="1:3" x14ac:dyDescent="0.2">
      <c r="A13" t="s">
        <v>19</v>
      </c>
      <c r="B13">
        <v>365678.87</v>
      </c>
      <c r="C13">
        <v>85283.112865292438</v>
      </c>
    </row>
    <row r="14" spans="1:3" x14ac:dyDescent="0.2">
      <c r="A14" t="s">
        <v>20</v>
      </c>
      <c r="B14">
        <v>141958.49</v>
      </c>
      <c r="C14">
        <v>27535.354826462135</v>
      </c>
    </row>
    <row r="15" spans="1:3" x14ac:dyDescent="0.2">
      <c r="A15" t="s">
        <v>32</v>
      </c>
      <c r="B15">
        <v>119108.57</v>
      </c>
      <c r="C15">
        <v>26005.612891658682</v>
      </c>
    </row>
    <row r="16" spans="1:3" x14ac:dyDescent="0.2">
      <c r="A16" t="s">
        <v>21</v>
      </c>
      <c r="B16">
        <v>109334.11</v>
      </c>
      <c r="C16">
        <v>30212.403212368175</v>
      </c>
    </row>
    <row r="17" spans="1:3" x14ac:dyDescent="0.2">
      <c r="A17" t="s">
        <v>22</v>
      </c>
      <c r="B17">
        <v>153434.70000000001</v>
      </c>
      <c r="C17">
        <v>41303.032239693195</v>
      </c>
    </row>
    <row r="18" spans="1:3" x14ac:dyDescent="0.2">
      <c r="A18" t="s">
        <v>23</v>
      </c>
      <c r="B18">
        <v>82456</v>
      </c>
      <c r="C18">
        <v>37861.112886385425</v>
      </c>
    </row>
    <row r="19" spans="1:3" x14ac:dyDescent="0.2">
      <c r="A19" t="s">
        <v>24</v>
      </c>
      <c r="B19">
        <v>73403.08</v>
      </c>
      <c r="C19">
        <v>17974.467733940557</v>
      </c>
    </row>
    <row r="20" spans="1:3" x14ac:dyDescent="0.2">
      <c r="A20" t="s">
        <v>25</v>
      </c>
      <c r="B20">
        <v>127375.03</v>
      </c>
      <c r="C20">
        <v>33654.322565675939</v>
      </c>
    </row>
    <row r="21" spans="1:3" x14ac:dyDescent="0.2">
      <c r="A21" t="s">
        <v>26</v>
      </c>
      <c r="B21">
        <v>111023.5</v>
      </c>
      <c r="C21">
        <v>27917.790310162996</v>
      </c>
    </row>
    <row r="22" spans="1:3" x14ac:dyDescent="0.2">
      <c r="A22" t="s">
        <v>35</v>
      </c>
      <c r="B22">
        <v>44538.42</v>
      </c>
      <c r="C22">
        <v>15679.85483173538</v>
      </c>
    </row>
    <row r="23" spans="1:3" x14ac:dyDescent="0.2">
      <c r="A23" t="s">
        <v>27</v>
      </c>
      <c r="B23">
        <v>51594.83</v>
      </c>
      <c r="C23">
        <v>13002.806445829341</v>
      </c>
    </row>
    <row r="24" spans="1:3" x14ac:dyDescent="0.2">
      <c r="A24" t="s">
        <v>28</v>
      </c>
      <c r="B24">
        <v>20760</v>
      </c>
      <c r="C24">
        <v>3824.3548370086301</v>
      </c>
    </row>
    <row r="25" spans="1:3" x14ac:dyDescent="0.2">
      <c r="A25" t="s">
        <v>39</v>
      </c>
      <c r="B25">
        <v>88344</v>
      </c>
      <c r="C25">
        <v>27535.354826462135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908-D743-D74B-A869-DA7736456FBC}">
  <dimension ref="A1:AG53"/>
  <sheetViews>
    <sheetView workbookViewId="0">
      <selection activeCell="Y34" sqref="Y34"/>
    </sheetView>
  </sheetViews>
  <sheetFormatPr baseColWidth="10" defaultRowHeight="16" x14ac:dyDescent="0.2"/>
  <cols>
    <col min="1" max="1" width="22.1640625" bestFit="1" customWidth="1"/>
    <col min="3" max="3" width="6.6640625" style="6" bestFit="1" customWidth="1"/>
    <col min="4" max="4" width="7.83203125" style="6" bestFit="1" customWidth="1"/>
    <col min="5" max="5" width="9.1640625" style="6" bestFit="1" customWidth="1"/>
    <col min="6" max="6" width="15" style="6" bestFit="1" customWidth="1"/>
    <col min="7" max="7" width="7" style="6" bestFit="1" customWidth="1"/>
    <col min="8" max="8" width="7.5" style="6" bestFit="1" customWidth="1"/>
    <col min="9" max="9" width="7" style="6" bestFit="1" customWidth="1"/>
    <col min="10" max="10" width="7.83203125" style="6" bestFit="1" customWidth="1"/>
    <col min="11" max="11" width="8" style="6" bestFit="1" customWidth="1"/>
    <col min="12" max="12" width="7" style="6" bestFit="1" customWidth="1"/>
    <col min="13" max="13" width="12.5" style="6" bestFit="1" customWidth="1"/>
    <col min="14" max="14" width="14.6640625" style="6" bestFit="1" customWidth="1"/>
    <col min="15" max="15" width="13.6640625" style="6" bestFit="1" customWidth="1"/>
    <col min="16" max="16" width="19.33203125" style="6" bestFit="1" customWidth="1"/>
    <col min="17" max="19" width="12.5" style="6" bestFit="1" customWidth="1"/>
    <col min="20" max="21" width="13.6640625" style="6" bestFit="1" customWidth="1"/>
    <col min="23" max="23" width="13.1640625" bestFit="1" customWidth="1"/>
    <col min="24" max="24" width="13.1640625" customWidth="1"/>
    <col min="25" max="25" width="17.5" bestFit="1" customWidth="1"/>
    <col min="26" max="27" width="17.5" customWidth="1"/>
    <col min="28" max="28" width="17" bestFit="1" customWidth="1"/>
    <col min="29" max="29" width="12.5" style="10" bestFit="1" customWidth="1"/>
    <col min="30" max="30" width="25.33203125" bestFit="1" customWidth="1"/>
    <col min="31" max="31" width="27.33203125" bestFit="1" customWidth="1"/>
    <col min="32" max="32" width="27.33203125" customWidth="1"/>
    <col min="33" max="33" width="17.33203125" bestFit="1" customWidth="1"/>
  </cols>
  <sheetData>
    <row r="1" spans="1:33" x14ac:dyDescent="0.2">
      <c r="A1" s="14" t="s">
        <v>0</v>
      </c>
      <c r="B1" s="2" t="s">
        <v>49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7</v>
      </c>
      <c r="H1" s="4" t="s">
        <v>45</v>
      </c>
      <c r="I1" s="4" t="s">
        <v>13</v>
      </c>
      <c r="J1" s="4" t="s">
        <v>46</v>
      </c>
      <c r="K1" s="4" t="s">
        <v>31</v>
      </c>
      <c r="L1" s="4" t="s">
        <v>47</v>
      </c>
      <c r="M1" s="4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61</v>
      </c>
      <c r="W1" s="6" t="s">
        <v>65</v>
      </c>
      <c r="X1" s="6" t="s">
        <v>62</v>
      </c>
      <c r="Y1" s="6" t="s">
        <v>77</v>
      </c>
      <c r="Z1" s="6" t="s">
        <v>339</v>
      </c>
      <c r="AA1" s="6" t="s">
        <v>341</v>
      </c>
      <c r="AB1" s="6" t="s">
        <v>3</v>
      </c>
      <c r="AC1" s="10" t="s">
        <v>63</v>
      </c>
      <c r="AD1" s="6" t="s">
        <v>340</v>
      </c>
      <c r="AE1" s="6" t="s">
        <v>342</v>
      </c>
      <c r="AF1" s="6"/>
      <c r="AG1" s="6" t="s">
        <v>73</v>
      </c>
    </row>
    <row r="2" spans="1:33" x14ac:dyDescent="0.2">
      <c r="A2" s="15" t="s">
        <v>4</v>
      </c>
      <c r="B2" s="1" t="s">
        <v>5</v>
      </c>
      <c r="C2" s="46">
        <f>VLOOKUP(A2,'[17]Key Ratios'!$A$2:$M$32,12,)</f>
        <v>1.0191302845791769E-2</v>
      </c>
      <c r="D2" s="46">
        <f>VLOOKUP(A2,'[17]Key Ratios'!$A$2:$D$32,4,)</f>
        <v>1.7920135459291657E-2</v>
      </c>
      <c r="E2" s="46">
        <f>VLOOKUP(A2,'[17]Key Ratios'!$A$2:$M$32,5,)</f>
        <v>2.210728192014878E-2</v>
      </c>
      <c r="F2" s="46">
        <f>VLOOKUP(A2,'[17]Key Ratios'!$A$2:$M$32,11,)</f>
        <v>0</v>
      </c>
      <c r="G2" s="46">
        <f>VLOOKUP(A2,'[17]Key Ratios'!$A$2:$M$32,10,)</f>
        <v>0</v>
      </c>
      <c r="H2" s="46">
        <f>VLOOKUP(A2,'[17]Key Ratios'!$A$2:$M$32,9,)</f>
        <v>0.12990112512785545</v>
      </c>
      <c r="I2" s="46">
        <f>VLOOKUP(A2,'[17]Key Ratios'!$A$2:$M$32,8,)</f>
        <v>0</v>
      </c>
      <c r="J2" s="46">
        <f>VLOOKUP(A2,'[17]Key Ratios'!$A$2:$M$32,7,)</f>
        <v>2.0313499680102372E-2</v>
      </c>
      <c r="K2" s="46">
        <v>0</v>
      </c>
      <c r="L2" s="46">
        <f>VLOOKUP(A2,'[17]Key Ratios'!$A$2:$M$32,13,)</f>
        <v>2.9659863945578228E-2</v>
      </c>
      <c r="M2" s="7">
        <f>C2*$B$37</f>
        <v>197.39518604973824</v>
      </c>
      <c r="N2" s="7">
        <f>D2*$B$38</f>
        <v>464227.57523356826</v>
      </c>
      <c r="O2" s="7">
        <f>E2*$B$39</f>
        <v>41641.423671535384</v>
      </c>
      <c r="P2" s="7">
        <f>F2*$B$40</f>
        <v>0</v>
      </c>
      <c r="Q2" s="7">
        <f>G2*$B$41</f>
        <v>0</v>
      </c>
      <c r="R2" s="7">
        <f>H2*$B$42</f>
        <v>72812.113041472054</v>
      </c>
      <c r="S2" s="7">
        <f>I2*$B$43</f>
        <v>0</v>
      </c>
      <c r="T2" s="7">
        <f>J2*$B$44</f>
        <v>96337.45682497794</v>
      </c>
      <c r="U2" s="7">
        <f>K2*$B$45</f>
        <v>0</v>
      </c>
      <c r="V2" s="7">
        <v>11450.101345291478</v>
      </c>
      <c r="W2" s="7">
        <f>D2*$B$48</f>
        <v>79829.088168477479</v>
      </c>
      <c r="X2" s="7">
        <f>D2*$B$46</f>
        <v>71968.716441796205</v>
      </c>
      <c r="Y2" s="7">
        <f>D2*$Y$34</f>
        <v>8757.0165396221892</v>
      </c>
      <c r="Z2" s="7">
        <f>L2*$Z$34</f>
        <v>31997.903927539093</v>
      </c>
      <c r="AA2" s="7">
        <f>I2*$AA$34</f>
        <v>0</v>
      </c>
      <c r="AB2" s="7">
        <f t="shared" ref="AB2:AB33" si="0">SUM(N2:AA2)</f>
        <v>879021.39519428019</v>
      </c>
      <c r="AC2" s="7">
        <f t="shared" ref="AC2:AC33" si="1">D2*$B$47</f>
        <v>67873.821580358359</v>
      </c>
      <c r="AD2" s="7">
        <f>L2*$AD$34</f>
        <v>317497.18721088429</v>
      </c>
      <c r="AE2" s="7">
        <f>I2*$AE$34</f>
        <v>0</v>
      </c>
      <c r="AF2" s="7"/>
      <c r="AG2" s="7">
        <f t="shared" ref="AG2:AG33" si="2">SUM(AC2:AE2)</f>
        <v>385371.00879124267</v>
      </c>
    </row>
    <row r="3" spans="1:33" x14ac:dyDescent="0.2">
      <c r="A3" s="15" t="s">
        <v>6</v>
      </c>
      <c r="B3" s="1" t="s">
        <v>7</v>
      </c>
      <c r="C3" s="46">
        <f>VLOOKUP(A3,'[17]Key Ratios'!$A$2:$M$32,12,)</f>
        <v>5.2025305523167947E-2</v>
      </c>
      <c r="D3" s="46">
        <f>VLOOKUP(A3,'[17]Key Ratios'!$A$2:$D$32,4,)</f>
        <v>5.8649052255303147E-2</v>
      </c>
      <c r="E3" s="46">
        <f>VLOOKUP(A3,'[17]Key Ratios'!$A$2:$M$32,5,)</f>
        <v>7.2463241703957695E-2</v>
      </c>
      <c r="F3" s="46">
        <f>VLOOKUP(A3,'[17]Key Ratios'!$A$2:$M$32,11,)</f>
        <v>0</v>
      </c>
      <c r="G3" s="46">
        <f>VLOOKUP(A3,'[17]Key Ratios'!$A$2:$M$32,10,)</f>
        <v>0.15984328932188185</v>
      </c>
      <c r="H3" s="46">
        <f>VLOOKUP(A3,'[17]Key Ratios'!$A$2:$M$32,9,)</f>
        <v>0</v>
      </c>
      <c r="I3" s="46">
        <f>VLOOKUP(A3,'[17]Key Ratios'!$A$2:$M$32,8,)</f>
        <v>0</v>
      </c>
      <c r="J3" s="46">
        <f>VLOOKUP(A3,'[17]Key Ratios'!$A$2:$M$32,7,)</f>
        <v>6.9282059074429497E-2</v>
      </c>
      <c r="K3" s="46">
        <v>0</v>
      </c>
      <c r="L3" s="46">
        <f>VLOOKUP(A3,'[17]Key Ratios'!$A$2:$M$32,13,)</f>
        <v>3.2653061224489799E-2</v>
      </c>
      <c r="M3" s="7">
        <f t="shared" ref="M3:M32" si="3">C3*$B$37</f>
        <v>1007.6773321755177</v>
      </c>
      <c r="N3" s="7">
        <f t="shared" ref="N3:N33" si="4">D3*$B$38</f>
        <v>1519324.8611359783</v>
      </c>
      <c r="O3" s="7">
        <f t="shared" ref="O3:O33" si="5">E3*$B$39</f>
        <v>136492.24537446289</v>
      </c>
      <c r="P3" s="7">
        <f t="shared" ref="P3:P32" si="6">F3*$B$40</f>
        <v>0</v>
      </c>
      <c r="Q3" s="7">
        <f t="shared" ref="Q3:Q32" si="7">G3*$B$41</f>
        <v>102595.21113291931</v>
      </c>
      <c r="R3" s="7">
        <f t="shared" ref="R3:R32" si="8">H3*$B$42</f>
        <v>0</v>
      </c>
      <c r="S3" s="7">
        <f t="shared" ref="S3:S33" si="9">I3*$B$43</f>
        <v>0</v>
      </c>
      <c r="T3" s="7">
        <f t="shared" ref="T3:T33" si="10">J3*$B$44</f>
        <v>328572.50005848258</v>
      </c>
      <c r="U3" s="7">
        <f t="shared" ref="U3:U33" si="11">K3*$B$45</f>
        <v>0</v>
      </c>
      <c r="V3" s="7">
        <v>37793.631614349768</v>
      </c>
      <c r="W3" s="7">
        <f t="shared" ref="W3:W33" si="12">D3*$B$48</f>
        <v>261264.78642540923</v>
      </c>
      <c r="X3" s="7">
        <f t="shared" ref="X3:X33" si="13">D3*$B$46</f>
        <v>235539.3473966989</v>
      </c>
      <c r="Y3" s="7">
        <f t="shared" ref="Y3:Y33" si="14">D3*$Y$34</f>
        <v>28659.979819882279</v>
      </c>
      <c r="Z3" s="7">
        <f t="shared" ref="Z3:Z33" si="15">L3*$Z$34</f>
        <v>35227.050195455886</v>
      </c>
      <c r="AA3" s="7">
        <f t="shared" ref="AA3:AA33" si="16">I3*$AA$34</f>
        <v>0</v>
      </c>
      <c r="AB3" s="7">
        <f t="shared" si="0"/>
        <v>2685469.6131536392</v>
      </c>
      <c r="AC3" s="7">
        <f t="shared" si="1"/>
        <v>222137.56797075627</v>
      </c>
      <c r="AD3" s="7">
        <f t="shared" ref="AD3:AD33" si="17">L3*$AD$34</f>
        <v>349538.18775510206</v>
      </c>
      <c r="AE3" s="7">
        <f t="shared" ref="AE3:AE33" si="18">I3*$AE$34</f>
        <v>0</v>
      </c>
      <c r="AF3" s="7"/>
      <c r="AG3" s="7">
        <f t="shared" si="2"/>
        <v>571675.75572585827</v>
      </c>
    </row>
    <row r="4" spans="1:33" x14ac:dyDescent="0.2">
      <c r="A4" s="15" t="s">
        <v>8</v>
      </c>
      <c r="B4" s="1" t="s">
        <v>7</v>
      </c>
      <c r="C4" s="46">
        <f>VLOOKUP(A4,'[17]Key Ratios'!$A$2:$M$32,12,)</f>
        <v>2.3243511681133137E-2</v>
      </c>
      <c r="D4" s="46">
        <f>VLOOKUP(A4,'[17]Key Ratios'!$A$2:$D$32,4,)</f>
        <v>2.2385471050279854E-2</v>
      </c>
      <c r="E4" s="46">
        <f>VLOOKUP(A4,'[17]Key Ratios'!$A$2:$M$32,5,)</f>
        <v>2.7655895856337535E-2</v>
      </c>
      <c r="F4" s="46">
        <f>VLOOKUP(A4,'[17]Key Ratios'!$A$2:$M$32,11,)</f>
        <v>0</v>
      </c>
      <c r="G4" s="46">
        <f>VLOOKUP(A4,'[17]Key Ratios'!$A$2:$M$32,10,)</f>
        <v>6.1009806435072429E-2</v>
      </c>
      <c r="H4" s="46">
        <f>VLOOKUP(A4,'[17]Key Ratios'!$A$2:$M$32,9,)</f>
        <v>0</v>
      </c>
      <c r="I4" s="46">
        <f>VLOOKUP(A4,'[17]Key Ratios'!$A$2:$M$32,8,)</f>
        <v>0</v>
      </c>
      <c r="J4" s="46">
        <f>VLOOKUP(A4,'[17]Key Ratios'!$A$2:$M$32,7,)</f>
        <v>2.5375213265088504E-2</v>
      </c>
      <c r="K4" s="46">
        <v>0</v>
      </c>
      <c r="L4" s="46">
        <f>VLOOKUP(A4,'[17]Key Ratios'!$A$2:$M$32,13,)</f>
        <v>3.2653061224489799E-2</v>
      </c>
      <c r="M4" s="7">
        <f t="shared" si="3"/>
        <v>450.20321564098145</v>
      </c>
      <c r="N4" s="7">
        <f t="shared" si="4"/>
        <v>579903.70495466259</v>
      </c>
      <c r="O4" s="7">
        <f t="shared" si="5"/>
        <v>52092.829888779961</v>
      </c>
      <c r="P4" s="7">
        <f t="shared" si="6"/>
        <v>0</v>
      </c>
      <c r="Q4" s="7">
        <f t="shared" si="7"/>
        <v>39159.066351419999</v>
      </c>
      <c r="R4" s="7">
        <f t="shared" si="8"/>
        <v>0</v>
      </c>
      <c r="S4" s="7">
        <f t="shared" si="9"/>
        <v>0</v>
      </c>
      <c r="T4" s="7">
        <f t="shared" si="10"/>
        <v>120342.80408828851</v>
      </c>
      <c r="U4" s="7">
        <f t="shared" si="11"/>
        <v>0</v>
      </c>
      <c r="V4" s="7">
        <v>23522.490807174883</v>
      </c>
      <c r="W4" s="7">
        <f t="shared" si="12"/>
        <v>99720.883596285435</v>
      </c>
      <c r="X4" s="7">
        <f t="shared" si="13"/>
        <v>89901.866093221484</v>
      </c>
      <c r="Y4" s="7">
        <f t="shared" si="14"/>
        <v>10939.088082221619</v>
      </c>
      <c r="Z4" s="7">
        <f t="shared" si="15"/>
        <v>35227.050195455886</v>
      </c>
      <c r="AA4" s="7">
        <f t="shared" si="16"/>
        <v>0</v>
      </c>
      <c r="AB4" s="7">
        <f t="shared" si="0"/>
        <v>1050809.7840575103</v>
      </c>
      <c r="AC4" s="7">
        <f t="shared" si="1"/>
        <v>84786.606190031001</v>
      </c>
      <c r="AD4" s="7">
        <f t="shared" si="17"/>
        <v>349538.18775510206</v>
      </c>
      <c r="AE4" s="7">
        <f t="shared" si="18"/>
        <v>0</v>
      </c>
      <c r="AF4" s="7"/>
      <c r="AG4" s="7">
        <f t="shared" si="2"/>
        <v>434324.79394513305</v>
      </c>
    </row>
    <row r="5" spans="1:33" x14ac:dyDescent="0.2">
      <c r="A5" s="15" t="s">
        <v>332</v>
      </c>
      <c r="B5" s="1" t="s">
        <v>7</v>
      </c>
      <c r="C5" s="46">
        <f>VLOOKUP(A5,'[17]Key Ratios'!$A$2:$M$32,12,)</f>
        <v>2.1591743317355447E-3</v>
      </c>
      <c r="D5" s="46">
        <f>VLOOKUP(A5,'[17]Key Ratios'!$A$2:$D$32,4,)</f>
        <v>1.3166713701142942E-2</v>
      </c>
      <c r="E5" s="46">
        <f>VLOOKUP(A5,'[17]Key Ratios'!$A$2:$M$32,5,)</f>
        <v>1.6265182774452255E-2</v>
      </c>
      <c r="F5" s="46">
        <f>VLOOKUP(A5,'[17]Key Ratios'!$A$2:$M$32,11,)</f>
        <v>0</v>
      </c>
      <c r="G5" s="46">
        <f>VLOOKUP(A5,'[17]Key Ratios'!$A$2:$M$32,10,)</f>
        <v>3.5884822458659149E-2</v>
      </c>
      <c r="H5" s="46">
        <f>VLOOKUP(A5,'[17]Key Ratios'!$A$2:$M$32,9,)</f>
        <v>0</v>
      </c>
      <c r="I5" s="46">
        <f>VLOOKUP(A5,'[17]Key Ratios'!$A$2:$M$32,8,)</f>
        <v>0</v>
      </c>
      <c r="J5" s="46">
        <f>VLOOKUP(A5,'[17]Key Ratios'!$A$2:$M$32,7,)</f>
        <v>1.4925223928342933E-2</v>
      </c>
      <c r="K5" s="46">
        <v>0</v>
      </c>
      <c r="L5" s="46">
        <f>VLOOKUP(A5,'[17]Key Ratios'!$A$2:$M$32,13,)</f>
        <v>3.2653061224489799E-2</v>
      </c>
      <c r="M5" s="7">
        <f t="shared" si="3"/>
        <v>41.821013993588615</v>
      </c>
      <c r="N5" s="7">
        <f t="shared" si="4"/>
        <v>341088.46940143593</v>
      </c>
      <c r="O5" s="7">
        <f t="shared" si="5"/>
        <v>30637.206756232816</v>
      </c>
      <c r="P5" s="7">
        <f t="shared" si="6"/>
        <v>0</v>
      </c>
      <c r="Q5" s="7">
        <f t="shared" si="7"/>
        <v>23032.627470520052</v>
      </c>
      <c r="R5" s="7">
        <f t="shared" si="8"/>
        <v>0</v>
      </c>
      <c r="S5" s="7">
        <f t="shared" si="9"/>
        <v>0</v>
      </c>
      <c r="T5" s="7">
        <f t="shared" si="10"/>
        <v>70783.377480163414</v>
      </c>
      <c r="U5" s="7">
        <f t="shared" si="11"/>
        <v>0</v>
      </c>
      <c r="V5" s="7">
        <v>4812.3614349775771</v>
      </c>
      <c r="W5" s="7">
        <f t="shared" si="12"/>
        <v>58653.951100165817</v>
      </c>
      <c r="X5" s="7">
        <f t="shared" si="13"/>
        <v>52878.589393504815</v>
      </c>
      <c r="Y5" s="7">
        <f t="shared" si="14"/>
        <v>6434.1661878228033</v>
      </c>
      <c r="Z5" s="7">
        <f t="shared" si="15"/>
        <v>35227.050195455886</v>
      </c>
      <c r="AA5" s="7">
        <f t="shared" si="16"/>
        <v>0</v>
      </c>
      <c r="AB5" s="7">
        <f t="shared" si="0"/>
        <v>623547.7994202791</v>
      </c>
      <c r="AC5" s="7">
        <f t="shared" si="1"/>
        <v>49869.889576513335</v>
      </c>
      <c r="AD5" s="7">
        <f t="shared" si="17"/>
        <v>349538.18775510206</v>
      </c>
      <c r="AE5" s="7">
        <f t="shared" si="18"/>
        <v>0</v>
      </c>
      <c r="AF5" s="7"/>
      <c r="AG5" s="7">
        <f t="shared" si="2"/>
        <v>399408.07733161538</v>
      </c>
    </row>
    <row r="6" spans="1:33" x14ac:dyDescent="0.2">
      <c r="A6" s="15" t="s">
        <v>35</v>
      </c>
      <c r="B6" s="1" t="s">
        <v>13</v>
      </c>
      <c r="C6" s="46">
        <f>VLOOKUP(A6,'[17]Key Ratios'!$A$2:$M$32,12,)</f>
        <v>4.7674569244720813E-2</v>
      </c>
      <c r="D6" s="46">
        <v>6.2489999999999997E-2</v>
      </c>
      <c r="E6" s="46">
        <f>VLOOKUP(A6,'[17]Key Ratios'!$A$2:$M$32,5,)-1.47%</f>
        <v>6.2516969837856678E-2</v>
      </c>
      <c r="F6" s="46">
        <f>VLOOKUP(A6,'[17]Key Ratios'!$A$2:$M$32,11,)</f>
        <v>0</v>
      </c>
      <c r="G6" s="46">
        <f>VLOOKUP(A6,'[17]Key Ratios'!$A$2:$M$32,10,)</f>
        <v>0</v>
      </c>
      <c r="H6" s="46">
        <f>VLOOKUP(A6,'[17]Key Ratios'!$A$2:$M$32,9,)</f>
        <v>0</v>
      </c>
      <c r="I6" s="46">
        <f>VLOOKUP(A6,'[17]Key Ratios'!$A$2:$M$32,8,)-3.67%</f>
        <v>0.15667394847911537</v>
      </c>
      <c r="J6" s="46">
        <f>VLOOKUP(A6,'[17]Key Ratios'!$A$2:$M$32,7,)-1.35%</f>
        <v>5.7339859245041605E-2</v>
      </c>
      <c r="K6" s="46">
        <v>0</v>
      </c>
      <c r="L6" s="46">
        <f>VLOOKUP(A6,'[17]Key Ratios'!$A$2:$M$32,13,)-0.88%</f>
        <v>3.7317188208616764E-2</v>
      </c>
      <c r="M6" s="7">
        <f t="shared" si="3"/>
        <v>923.40798897843638</v>
      </c>
      <c r="N6" s="7">
        <f t="shared" si="4"/>
        <v>1618825.9983996998</v>
      </c>
      <c r="O6" s="7">
        <f t="shared" si="5"/>
        <v>117757.38134981313</v>
      </c>
      <c r="P6" s="7">
        <f t="shared" si="6"/>
        <v>0</v>
      </c>
      <c r="Q6" s="7">
        <f t="shared" si="7"/>
        <v>0</v>
      </c>
      <c r="R6" s="7">
        <f t="shared" si="8"/>
        <v>0</v>
      </c>
      <c r="S6" s="7">
        <f t="shared" si="9"/>
        <v>111812.96519088511</v>
      </c>
      <c r="T6" s="7">
        <f t="shared" si="10"/>
        <v>271936.214899513</v>
      </c>
      <c r="U6" s="7">
        <f t="shared" si="11"/>
        <v>0</v>
      </c>
      <c r="V6" s="7">
        <v>34848.134529147974</v>
      </c>
      <c r="W6" s="7">
        <f t="shared" si="12"/>
        <v>278375.11222949997</v>
      </c>
      <c r="X6" s="7">
        <f t="shared" si="13"/>
        <v>250964.90485042424</v>
      </c>
      <c r="Y6" s="7">
        <f t="shared" si="14"/>
        <v>30536.932313045207</v>
      </c>
      <c r="Z6" s="7">
        <f t="shared" si="15"/>
        <v>40258.842904207901</v>
      </c>
      <c r="AA6" s="7">
        <f t="shared" si="16"/>
        <v>47794.540221704672</v>
      </c>
      <c r="AB6" s="7">
        <f t="shared" si="0"/>
        <v>2803111.0268879407</v>
      </c>
      <c r="AC6" s="7">
        <f t="shared" si="1"/>
        <v>236685.43801979991</v>
      </c>
      <c r="AD6" s="7">
        <f t="shared" si="17"/>
        <v>399465.83411827649</v>
      </c>
      <c r="AE6" s="7">
        <f t="shared" si="18"/>
        <v>60917.956813952223</v>
      </c>
      <c r="AF6" s="7"/>
      <c r="AG6" s="7">
        <f t="shared" si="2"/>
        <v>697069.22895202856</v>
      </c>
    </row>
    <row r="7" spans="1:33" x14ac:dyDescent="0.2">
      <c r="A7" s="15" t="s">
        <v>10</v>
      </c>
      <c r="B7" s="1" t="s">
        <v>11</v>
      </c>
      <c r="C7" s="46">
        <f>VLOOKUP(A7,'[17]Key Ratios'!$A$2:$M$32,12,)</f>
        <v>1.5880727209914926E-2</v>
      </c>
      <c r="D7" s="46">
        <f>VLOOKUP(A7,'[17]Key Ratios'!$A$2:$D$32,4,)</f>
        <v>1.166455011523447E-2</v>
      </c>
      <c r="E7" s="46">
        <f>VLOOKUP(A7,'[17]Key Ratios'!$A$2:$M$32,5,)</f>
        <v>0</v>
      </c>
      <c r="F7" s="46">
        <f>VLOOKUP(A7,'[17]Key Ratios'!$A$2:$M$32,11,)</f>
        <v>0.16010329244673979</v>
      </c>
      <c r="G7" s="46">
        <f>VLOOKUP(A7,'[17]Key Ratios'!$A$2:$M$32,10,)</f>
        <v>0</v>
      </c>
      <c r="H7" s="46">
        <f>VLOOKUP(A7,'[17]Key Ratios'!$A$2:$M$32,9,)</f>
        <v>0</v>
      </c>
      <c r="I7" s="46">
        <f>VLOOKUP(A7,'[17]Key Ratios'!$A$2:$M$32,8,)</f>
        <v>0</v>
      </c>
      <c r="J7" s="46">
        <f>VLOOKUP(A7,'[17]Key Ratios'!$A$2:$M$32,7,)</f>
        <v>1.3222435487310729E-2</v>
      </c>
      <c r="K7" s="46">
        <v>0</v>
      </c>
      <c r="L7" s="46">
        <f>VLOOKUP(A7,'[17]Key Ratios'!$A$2:$M$32,13,)</f>
        <v>0</v>
      </c>
      <c r="M7" s="7">
        <f t="shared" si="3"/>
        <v>307.59355792284418</v>
      </c>
      <c r="N7" s="7">
        <f t="shared" si="4"/>
        <v>302174.37967959314</v>
      </c>
      <c r="O7" s="7">
        <f t="shared" si="5"/>
        <v>0</v>
      </c>
      <c r="P7" s="7">
        <f t="shared" si="6"/>
        <v>29821.599741768874</v>
      </c>
      <c r="Q7" s="7">
        <f t="shared" si="7"/>
        <v>0</v>
      </c>
      <c r="R7" s="7">
        <f t="shared" si="8"/>
        <v>0</v>
      </c>
      <c r="S7" s="7">
        <f t="shared" si="9"/>
        <v>0</v>
      </c>
      <c r="T7" s="7">
        <f t="shared" si="10"/>
        <v>62707.845912321587</v>
      </c>
      <c r="U7" s="7">
        <f t="shared" si="11"/>
        <v>0</v>
      </c>
      <c r="V7" s="7">
        <v>10786.327354260087</v>
      </c>
      <c r="W7" s="7">
        <f t="shared" si="12"/>
        <v>51962.241117539168</v>
      </c>
      <c r="X7" s="7">
        <f t="shared" si="13"/>
        <v>46845.778681274191</v>
      </c>
      <c r="Y7" s="7">
        <f t="shared" si="14"/>
        <v>5700.105254137281</v>
      </c>
      <c r="Z7" s="7">
        <f t="shared" si="15"/>
        <v>0</v>
      </c>
      <c r="AA7" s="7">
        <f t="shared" si="16"/>
        <v>0</v>
      </c>
      <c r="AB7" s="7">
        <f t="shared" si="0"/>
        <v>509998.27774089435</v>
      </c>
      <c r="AC7" s="7">
        <f t="shared" si="1"/>
        <v>44180.335306899957</v>
      </c>
      <c r="AD7" s="7">
        <f t="shared" si="17"/>
        <v>0</v>
      </c>
      <c r="AE7" s="7">
        <f t="shared" si="18"/>
        <v>0</v>
      </c>
      <c r="AF7" s="7"/>
      <c r="AG7" s="7">
        <f t="shared" si="2"/>
        <v>44180.335306899957</v>
      </c>
    </row>
    <row r="8" spans="1:33" x14ac:dyDescent="0.2">
      <c r="A8" s="15" t="s">
        <v>36</v>
      </c>
      <c r="B8" s="1" t="s">
        <v>7</v>
      </c>
      <c r="C8" s="46">
        <f>VLOOKUP(A8,'[17]Key Ratios'!$A$2:$M$32,12,)</f>
        <v>1.5211383167076908E-2</v>
      </c>
      <c r="D8" s="46">
        <f>VLOOKUP(A8,'[17]Key Ratios'!$A$2:$D$32,4,)</f>
        <v>1.9845609331640091E-2</v>
      </c>
      <c r="E8" s="46">
        <f>VLOOKUP(A8,'[17]Key Ratios'!$A$2:$M$32,5,)</f>
        <v>2.4517638170511995E-2</v>
      </c>
      <c r="F8" s="46">
        <f>VLOOKUP(A8,'[17]Key Ratios'!$A$2:$M$32,11,)</f>
        <v>0</v>
      </c>
      <c r="G8" s="46">
        <f>VLOOKUP(A8,'[17]Key Ratios'!$A$2:$M$32,10,)</f>
        <v>5.4087616972183054E-2</v>
      </c>
      <c r="H8" s="46">
        <f>VLOOKUP(A8,'[17]Key Ratios'!$A$2:$M$32,9,)</f>
        <v>0</v>
      </c>
      <c r="I8" s="46">
        <f>VLOOKUP(A8,'[17]Key Ratios'!$A$2:$M$32,8,)</f>
        <v>0</v>
      </c>
      <c r="J8" s="46">
        <f>VLOOKUP(A8,'[17]Key Ratios'!$A$2:$M$32,7,)</f>
        <v>2.2496134570270845E-2</v>
      </c>
      <c r="K8" s="46">
        <v>0</v>
      </c>
      <c r="L8" s="46">
        <f>VLOOKUP(A8,'[17]Key Ratios'!$A$2:$M$32,13,)</f>
        <v>3.2653061224489799E-2</v>
      </c>
      <c r="M8" s="7">
        <f t="shared" si="3"/>
        <v>294.62904358483172</v>
      </c>
      <c r="N8" s="7">
        <f t="shared" si="4"/>
        <v>514107.67066958983</v>
      </c>
      <c r="O8" s="7">
        <f t="shared" si="5"/>
        <v>46181.586780833291</v>
      </c>
      <c r="P8" s="7">
        <f t="shared" si="6"/>
        <v>0</v>
      </c>
      <c r="Q8" s="7">
        <f t="shared" si="7"/>
        <v>34716.067884233278</v>
      </c>
      <c r="R8" s="7">
        <f t="shared" si="8"/>
        <v>0</v>
      </c>
      <c r="S8" s="7">
        <f t="shared" si="9"/>
        <v>0</v>
      </c>
      <c r="T8" s="7">
        <f t="shared" si="10"/>
        <v>106688.67634931527</v>
      </c>
      <c r="U8" s="7">
        <f t="shared" si="11"/>
        <v>0</v>
      </c>
      <c r="V8" s="7">
        <v>12570.219955156948</v>
      </c>
      <c r="W8" s="7">
        <f t="shared" si="12"/>
        <v>88406.524643272889</v>
      </c>
      <c r="X8" s="7">
        <f t="shared" si="13"/>
        <v>79701.575573911774</v>
      </c>
      <c r="Y8" s="7">
        <f t="shared" si="14"/>
        <v>9697.9361317239836</v>
      </c>
      <c r="Z8" s="7">
        <f t="shared" si="15"/>
        <v>35227.050195455886</v>
      </c>
      <c r="AA8" s="7">
        <f t="shared" si="16"/>
        <v>0</v>
      </c>
      <c r="AB8" s="7">
        <f t="shared" si="0"/>
        <v>927297.30818349309</v>
      </c>
      <c r="AC8" s="7">
        <f t="shared" si="1"/>
        <v>75166.694469980212</v>
      </c>
      <c r="AD8" s="7">
        <f t="shared" si="17"/>
        <v>349538.18775510206</v>
      </c>
      <c r="AE8" s="7">
        <f t="shared" si="18"/>
        <v>0</v>
      </c>
      <c r="AF8" s="7"/>
      <c r="AG8" s="7">
        <f t="shared" si="2"/>
        <v>424704.88222508226</v>
      </c>
    </row>
    <row r="9" spans="1:33" x14ac:dyDescent="0.2">
      <c r="A9" s="15" t="s">
        <v>37</v>
      </c>
      <c r="B9" s="1" t="s">
        <v>7</v>
      </c>
      <c r="C9" s="46">
        <f>VLOOKUP(A9,'[17]Key Ratios'!$A$2:$M$32,12,)</f>
        <v>3.6630392537893505E-2</v>
      </c>
      <c r="D9" s="46">
        <f>VLOOKUP(A9,'[17]Key Ratios'!$A$2:$D$32,4,)</f>
        <v>3.8612365363811671E-2</v>
      </c>
      <c r="E9" s="46">
        <f>VLOOKUP(A9,'[17]Key Ratios'!$A$2:$M$32,5,)</f>
        <v>4.2940373103969316E-2</v>
      </c>
      <c r="F9" s="46">
        <f>VLOOKUP(A9,'[17]Key Ratios'!$A$2:$M$32,11,)</f>
        <v>5.2937378954163977E-2</v>
      </c>
      <c r="G9" s="46">
        <f>VLOOKUP(A9,'[17]Key Ratios'!$A$2:$M$32,10,)</f>
        <v>0.10523490578131009</v>
      </c>
      <c r="H9" s="46">
        <f>VLOOKUP(A9,'[17]Key Ratios'!$A$2:$M$32,9,)</f>
        <v>0</v>
      </c>
      <c r="I9" s="46">
        <f>VLOOKUP(A9,'[17]Key Ratios'!$A$2:$M$32,8,)</f>
        <v>0</v>
      </c>
      <c r="J9" s="46">
        <f>VLOOKUP(A9,'[17]Key Ratios'!$A$2:$M$32,7,)</f>
        <v>4.3769327148645766E-2</v>
      </c>
      <c r="K9" s="46">
        <v>0</v>
      </c>
      <c r="L9" s="46">
        <f>VLOOKUP(A9,'[17]Key Ratios'!$A$2:$M$32,13,)</f>
        <v>3.2653061224489799E-2</v>
      </c>
      <c r="M9" s="7">
        <f t="shared" si="3"/>
        <v>709.49350240123067</v>
      </c>
      <c r="N9" s="7">
        <f t="shared" si="4"/>
        <v>1000267.2573315158</v>
      </c>
      <c r="O9" s="7">
        <f t="shared" si="5"/>
        <v>80882.773173779453</v>
      </c>
      <c r="P9" s="7">
        <f t="shared" si="6"/>
        <v>9860.3676565526148</v>
      </c>
      <c r="Q9" s="7">
        <f t="shared" si="7"/>
        <v>67544.889891779603</v>
      </c>
      <c r="R9" s="7">
        <f t="shared" si="8"/>
        <v>0</v>
      </c>
      <c r="S9" s="7">
        <f t="shared" si="9"/>
        <v>0</v>
      </c>
      <c r="T9" s="7">
        <f t="shared" si="10"/>
        <v>207577.50908728427</v>
      </c>
      <c r="U9" s="7">
        <f t="shared" si="11"/>
        <v>0</v>
      </c>
      <c r="V9" s="7">
        <v>32317.496188340803</v>
      </c>
      <c r="W9" s="7">
        <f t="shared" si="12"/>
        <v>172007.06579608787</v>
      </c>
      <c r="X9" s="7">
        <f t="shared" si="13"/>
        <v>155070.38885547788</v>
      </c>
      <c r="Y9" s="7">
        <f t="shared" si="14"/>
        <v>18868.669988178721</v>
      </c>
      <c r="Z9" s="7">
        <f t="shared" si="15"/>
        <v>35227.050195455886</v>
      </c>
      <c r="AA9" s="7">
        <f t="shared" si="16"/>
        <v>0</v>
      </c>
      <c r="AB9" s="7">
        <f t="shared" si="0"/>
        <v>1779623.4681644526</v>
      </c>
      <c r="AC9" s="7">
        <f t="shared" si="1"/>
        <v>146247.15329035552</v>
      </c>
      <c r="AD9" s="7">
        <f t="shared" si="17"/>
        <v>349538.18775510206</v>
      </c>
      <c r="AE9" s="7">
        <f t="shared" si="18"/>
        <v>0</v>
      </c>
      <c r="AF9" s="7"/>
      <c r="AG9" s="7">
        <f t="shared" si="2"/>
        <v>495785.34104545758</v>
      </c>
    </row>
    <row r="10" spans="1:33" x14ac:dyDescent="0.2">
      <c r="A10" s="15" t="s">
        <v>12</v>
      </c>
      <c r="B10" s="1" t="s">
        <v>13</v>
      </c>
      <c r="C10" s="46">
        <f>VLOOKUP(A10,'[17]Key Ratios'!$A$2:$M$32,12,)</f>
        <v>1.5880727209914926E-2</v>
      </c>
      <c r="D10" s="46">
        <f>VLOOKUP(A10,'[17]Key Ratios'!$A$2:$D$32,4,)</f>
        <v>1.871972155590048E-2</v>
      </c>
      <c r="E10" s="46">
        <f>VLOOKUP(A10,'[17]Key Ratios'!$A$2:$M$32,5,)</f>
        <v>2.3130121462195619E-2</v>
      </c>
      <c r="F10" s="46">
        <f>VLOOKUP(A10,'[17]Key Ratios'!$A$2:$M$32,11,)</f>
        <v>0</v>
      </c>
      <c r="G10" s="46">
        <f>VLOOKUP(A10,'[17]Key Ratios'!$A$2:$M$32,10,)</f>
        <v>0</v>
      </c>
      <c r="H10" s="46">
        <f>VLOOKUP(A10,'[17]Key Ratios'!$A$2:$M$32,9,)</f>
        <v>0</v>
      </c>
      <c r="I10" s="46">
        <f>VLOOKUP(A10,'[17]Key Ratios'!$A$2:$M$32,8,)</f>
        <v>5.7924610682578953E-2</v>
      </c>
      <c r="J10" s="46">
        <f>VLOOKUP(A10,'[17]Key Ratios'!$A$2:$M$32,7,)</f>
        <v>2.1219876306248671E-2</v>
      </c>
      <c r="K10" s="46">
        <v>0</v>
      </c>
      <c r="L10" s="46">
        <f>VLOOKUP(A10,'[17]Key Ratios'!$A$2:$M$32,13,)</f>
        <v>5.4875283446712018E-2</v>
      </c>
      <c r="M10" s="7">
        <f t="shared" si="3"/>
        <v>307.59355792284418</v>
      </c>
      <c r="N10" s="7">
        <f t="shared" si="4"/>
        <v>484941.14158257283</v>
      </c>
      <c r="O10" s="7">
        <f t="shared" si="5"/>
        <v>43568.051054866148</v>
      </c>
      <c r="P10" s="7">
        <f t="shared" si="6"/>
        <v>0</v>
      </c>
      <c r="Q10" s="7">
        <f t="shared" si="7"/>
        <v>0</v>
      </c>
      <c r="R10" s="7">
        <f t="shared" si="8"/>
        <v>0</v>
      </c>
      <c r="S10" s="7">
        <f t="shared" si="9"/>
        <v>41338.860358205115</v>
      </c>
      <c r="T10" s="7">
        <f t="shared" si="10"/>
        <v>100635.97852058063</v>
      </c>
      <c r="U10" s="7">
        <f t="shared" si="11"/>
        <v>0</v>
      </c>
      <c r="V10" s="7">
        <v>17092.180269058295</v>
      </c>
      <c r="W10" s="7">
        <f t="shared" si="12"/>
        <v>83391.015987018502</v>
      </c>
      <c r="X10" s="7">
        <f t="shared" si="13"/>
        <v>75179.919012690036</v>
      </c>
      <c r="Y10" s="7">
        <f t="shared" si="14"/>
        <v>9147.7495610751521</v>
      </c>
      <c r="Z10" s="7">
        <f t="shared" si="15"/>
        <v>59201.014911807812</v>
      </c>
      <c r="AA10" s="7">
        <f t="shared" si="16"/>
        <v>17670.328487726485</v>
      </c>
      <c r="AB10" s="7">
        <f t="shared" si="0"/>
        <v>932166.2397456012</v>
      </c>
      <c r="AC10" s="7">
        <f t="shared" si="1"/>
        <v>70902.312307041051</v>
      </c>
      <c r="AD10" s="7">
        <f t="shared" si="17"/>
        <v>587418.34331065766</v>
      </c>
      <c r="AE10" s="7">
        <f t="shared" si="18"/>
        <v>22522.244229369819</v>
      </c>
      <c r="AF10" s="7"/>
      <c r="AG10" s="7">
        <f t="shared" si="2"/>
        <v>680842.89984706847</v>
      </c>
    </row>
    <row r="11" spans="1:33" x14ac:dyDescent="0.2">
      <c r="A11" s="15" t="s">
        <v>14</v>
      </c>
      <c r="B11" s="1" t="s">
        <v>5</v>
      </c>
      <c r="C11" s="46">
        <f>VLOOKUP(A11,'[17]Key Ratios'!$A$2:$M$32,12,)</f>
        <v>1.1529990931467808E-2</v>
      </c>
      <c r="D11" s="46">
        <f>VLOOKUP(A11,'[17]Key Ratios'!$A$2:$D$32,4,)</f>
        <v>1.1241239828794507E-2</v>
      </c>
      <c r="E11" s="46">
        <f>VLOOKUP(A11,'[17]Key Ratios'!$A$2:$M$32,5,)</f>
        <v>1.3854826524089028E-2</v>
      </c>
      <c r="F11" s="46">
        <f>VLOOKUP(A11,'[17]Key Ratios'!$A$2:$M$32,11,)</f>
        <v>0</v>
      </c>
      <c r="G11" s="46">
        <f>VLOOKUP(A11,'[17]Key Ratios'!$A$2:$M$32,10,)</f>
        <v>0</v>
      </c>
      <c r="H11" s="46">
        <f>VLOOKUP(A11,'[17]Key Ratios'!$A$2:$M$32,9,)</f>
        <v>8.1486532560518243E-2</v>
      </c>
      <c r="I11" s="46">
        <f>VLOOKUP(A11,'[17]Key Ratios'!$A$2:$M$32,8,)</f>
        <v>0</v>
      </c>
      <c r="J11" s="46">
        <f>VLOOKUP(A11,'[17]Key Ratios'!$A$2:$M$32,7,)</f>
        <v>1.2742589038174452E-2</v>
      </c>
      <c r="K11" s="46">
        <v>0</v>
      </c>
      <c r="L11" s="46">
        <f>VLOOKUP(A11,'[17]Key Ratios'!$A$2:$M$32,13,)</f>
        <v>2.9659863945578228E-2</v>
      </c>
      <c r="M11" s="7">
        <f t="shared" si="3"/>
        <v>223.3242147257632</v>
      </c>
      <c r="N11" s="7">
        <f t="shared" si="4"/>
        <v>291208.3739654143</v>
      </c>
      <c r="O11" s="7">
        <f t="shared" si="5"/>
        <v>26097.043646934886</v>
      </c>
      <c r="P11" s="7">
        <f t="shared" si="6"/>
        <v>0</v>
      </c>
      <c r="Q11" s="7">
        <f t="shared" si="7"/>
        <v>0</v>
      </c>
      <c r="R11" s="7">
        <f t="shared" si="8"/>
        <v>45674.790070634699</v>
      </c>
      <c r="S11" s="7">
        <f t="shared" si="9"/>
        <v>0</v>
      </c>
      <c r="T11" s="7">
        <f t="shared" si="10"/>
        <v>60432.157955826042</v>
      </c>
      <c r="U11" s="7">
        <f t="shared" si="11"/>
        <v>0</v>
      </c>
      <c r="V11" s="7">
        <v>13275.479820627801</v>
      </c>
      <c r="W11" s="7">
        <f t="shared" si="12"/>
        <v>50076.514625370401</v>
      </c>
      <c r="X11" s="7">
        <f t="shared" si="13"/>
        <v>45145.730261389232</v>
      </c>
      <c r="Y11" s="7">
        <f t="shared" si="14"/>
        <v>5493.246595721007</v>
      </c>
      <c r="Z11" s="7">
        <f t="shared" si="15"/>
        <v>31997.903927539093</v>
      </c>
      <c r="AA11" s="7">
        <f t="shared" si="16"/>
        <v>0</v>
      </c>
      <c r="AB11" s="7">
        <f t="shared" si="0"/>
        <v>569401.24086945748</v>
      </c>
      <c r="AC11" s="7">
        <f t="shared" si="1"/>
        <v>42577.016686891482</v>
      </c>
      <c r="AD11" s="7">
        <f t="shared" si="17"/>
        <v>317497.18721088429</v>
      </c>
      <c r="AE11" s="7">
        <f t="shared" si="18"/>
        <v>0</v>
      </c>
      <c r="AF11" s="7"/>
      <c r="AG11" s="7">
        <f t="shared" si="2"/>
        <v>360074.20389777579</v>
      </c>
    </row>
    <row r="12" spans="1:33" x14ac:dyDescent="0.2">
      <c r="A12" s="15" t="s">
        <v>15</v>
      </c>
      <c r="B12" s="1" t="s">
        <v>7</v>
      </c>
      <c r="C12" s="46">
        <f>VLOOKUP(A12,'[17]Key Ratios'!$A$2:$M$32,12,)</f>
        <v>4.7674569244720813E-2</v>
      </c>
      <c r="D12" s="46">
        <f>VLOOKUP(A12,'[17]Key Ratios'!$A$2:$D$32,4,)</f>
        <v>2.9534711443488071E-2</v>
      </c>
      <c r="E12" s="46">
        <f>VLOOKUP(A12,'[17]Key Ratios'!$A$2:$M$32,5,)</f>
        <v>3.6489510083105713E-2</v>
      </c>
      <c r="F12" s="46">
        <f>VLOOKUP(A12,'[17]Key Ratios'!$A$2:$M$32,11,)</f>
        <v>0</v>
      </c>
      <c r="G12" s="46">
        <f>VLOOKUP(A12,'[17]Key Ratios'!$A$2:$M$32,10,)</f>
        <v>8.0494487886168448E-2</v>
      </c>
      <c r="H12" s="46">
        <f>VLOOKUP(A12,'[17]Key Ratios'!$A$2:$M$32,9,)</f>
        <v>0</v>
      </c>
      <c r="I12" s="46">
        <f>VLOOKUP(A12,'[17]Key Ratios'!$A$2:$M$32,8,)</f>
        <v>0</v>
      </c>
      <c r="J12" s="46">
        <f>VLOOKUP(A12,'[17]Key Ratios'!$A$2:$M$32,7,)</f>
        <v>3.3479286628278947E-2</v>
      </c>
      <c r="K12" s="46">
        <v>0</v>
      </c>
      <c r="L12" s="46">
        <f>VLOOKUP(A12,'[17]Key Ratios'!$A$2:$M$32,13,)</f>
        <v>3.2653061224489799E-2</v>
      </c>
      <c r="M12" s="7">
        <f t="shared" si="3"/>
        <v>923.40798897843638</v>
      </c>
      <c r="N12" s="7">
        <f t="shared" si="4"/>
        <v>765107.35701634851</v>
      </c>
      <c r="O12" s="7">
        <f t="shared" si="5"/>
        <v>68731.884563000203</v>
      </c>
      <c r="P12" s="7">
        <f t="shared" si="6"/>
        <v>0</v>
      </c>
      <c r="Q12" s="7">
        <f t="shared" si="7"/>
        <v>51665.284259056702</v>
      </c>
      <c r="R12" s="7">
        <f t="shared" si="8"/>
        <v>0</v>
      </c>
      <c r="S12" s="7">
        <f t="shared" si="9"/>
        <v>0</v>
      </c>
      <c r="T12" s="7">
        <f t="shared" si="10"/>
        <v>158776.6451313243</v>
      </c>
      <c r="U12" s="7">
        <f t="shared" si="11"/>
        <v>0</v>
      </c>
      <c r="V12" s="7">
        <v>45095.145515695061</v>
      </c>
      <c r="W12" s="7">
        <f t="shared" si="12"/>
        <v>131568.7087973578</v>
      </c>
      <c r="X12" s="7">
        <f t="shared" si="13"/>
        <v>118613.79496238951</v>
      </c>
      <c r="Y12" s="7">
        <f t="shared" si="14"/>
        <v>14432.700979918658</v>
      </c>
      <c r="Z12" s="7">
        <f t="shared" si="15"/>
        <v>35227.050195455886</v>
      </c>
      <c r="AA12" s="7">
        <f t="shared" si="16"/>
        <v>0</v>
      </c>
      <c r="AB12" s="7">
        <f t="shared" si="0"/>
        <v>1389218.5714205464</v>
      </c>
      <c r="AC12" s="7">
        <f t="shared" si="1"/>
        <v>111864.87621684062</v>
      </c>
      <c r="AD12" s="7">
        <f t="shared" si="17"/>
        <v>349538.18775510206</v>
      </c>
      <c r="AE12" s="7">
        <f t="shared" si="18"/>
        <v>0</v>
      </c>
      <c r="AF12" s="7"/>
      <c r="AG12" s="7">
        <f t="shared" si="2"/>
        <v>461403.0639719427</v>
      </c>
    </row>
    <row r="13" spans="1:33" x14ac:dyDescent="0.2">
      <c r="A13" s="15" t="s">
        <v>16</v>
      </c>
      <c r="B13" s="1" t="s">
        <v>5</v>
      </c>
      <c r="C13" s="46">
        <f>VLOOKUP(A13,'[17]Key Ratios'!$A$2:$M$32,12,)</f>
        <v>8.8526147601157325E-3</v>
      </c>
      <c r="D13" s="46">
        <f>VLOOKUP(A13,'[17]Key Ratios'!$A$2:$D$32,4,)</f>
        <v>2.2623583086402336E-2</v>
      </c>
      <c r="E13" s="46">
        <f>VLOOKUP(A13,'[17]Key Ratios'!$A$2:$M$32,5,)</f>
        <v>2.7918870227233099E-2</v>
      </c>
      <c r="F13" s="46">
        <f>VLOOKUP(A13,'[17]Key Ratios'!$A$2:$M$32,11,)</f>
        <v>0</v>
      </c>
      <c r="G13" s="46">
        <f>VLOOKUP(A13,'[17]Key Ratios'!$A$2:$M$32,10,)</f>
        <v>0</v>
      </c>
      <c r="H13" s="46">
        <f>VLOOKUP(A13,'[17]Key Ratios'!$A$2:$M$32,9,)</f>
        <v>0.16399590862598026</v>
      </c>
      <c r="I13" s="46">
        <f>VLOOKUP(A13,'[17]Key Ratios'!$A$2:$M$32,8,)</f>
        <v>0</v>
      </c>
      <c r="J13" s="46">
        <f>VLOOKUP(A13,'[17]Key Ratios'!$A$2:$M$32,7,)</f>
        <v>2.5645126892727663E-2</v>
      </c>
      <c r="K13" s="46">
        <v>0</v>
      </c>
      <c r="L13" s="46">
        <f>VLOOKUP(A13,'[17]Key Ratios'!$A$2:$M$32,13,)</f>
        <v>2.9659863945578228E-2</v>
      </c>
      <c r="M13" s="7">
        <f t="shared" si="3"/>
        <v>171.46615737371332</v>
      </c>
      <c r="N13" s="7">
        <f t="shared" si="4"/>
        <v>586072.08316888823</v>
      </c>
      <c r="O13" s="7">
        <f t="shared" si="5"/>
        <v>52588.170167732897</v>
      </c>
      <c r="P13" s="7">
        <f t="shared" si="6"/>
        <v>0</v>
      </c>
      <c r="Q13" s="7">
        <f t="shared" si="7"/>
        <v>0</v>
      </c>
      <c r="R13" s="7">
        <f t="shared" si="8"/>
        <v>91922.903866005407</v>
      </c>
      <c r="S13" s="7">
        <f t="shared" si="9"/>
        <v>0</v>
      </c>
      <c r="T13" s="7">
        <f t="shared" si="10"/>
        <v>121622.87856381727</v>
      </c>
      <c r="U13" s="7">
        <f t="shared" si="11"/>
        <v>0</v>
      </c>
      <c r="V13" s="7">
        <v>7799.3443946188318</v>
      </c>
      <c r="W13" s="7">
        <f t="shared" si="12"/>
        <v>100781.60474813038</v>
      </c>
      <c r="X13" s="7">
        <f t="shared" si="13"/>
        <v>90858.143329406783</v>
      </c>
      <c r="Y13" s="7">
        <f t="shared" si="14"/>
        <v>11055.446077580773</v>
      </c>
      <c r="Z13" s="7">
        <f t="shared" si="15"/>
        <v>31997.903927539093</v>
      </c>
      <c r="AA13" s="7">
        <f t="shared" si="16"/>
        <v>0</v>
      </c>
      <c r="AB13" s="7">
        <f t="shared" si="0"/>
        <v>1094698.4782437196</v>
      </c>
      <c r="AC13" s="7">
        <f t="shared" si="1"/>
        <v>85688.472913785779</v>
      </c>
      <c r="AD13" s="7">
        <f t="shared" si="17"/>
        <v>317497.18721088429</v>
      </c>
      <c r="AE13" s="7">
        <f t="shared" si="18"/>
        <v>0</v>
      </c>
      <c r="AF13" s="7"/>
      <c r="AG13" s="7">
        <f t="shared" si="2"/>
        <v>403185.66012467007</v>
      </c>
    </row>
    <row r="14" spans="1:33" x14ac:dyDescent="0.2">
      <c r="A14" s="15" t="s">
        <v>17</v>
      </c>
      <c r="B14" s="1" t="s">
        <v>7</v>
      </c>
      <c r="C14" s="46">
        <f>VLOOKUP(A14,'[17]Key Ratios'!$A$2:$M$32,12,)</f>
        <v>3.2279656259446385E-2</v>
      </c>
      <c r="D14" s="46">
        <f>VLOOKUP(A14,'[17]Key Ratios'!$A$2:$D$32,4,)</f>
        <v>1.834050609096468E-2</v>
      </c>
      <c r="E14" s="46">
        <f>VLOOKUP(A14,'[17]Key Ratios'!$A$2:$M$32,5,)</f>
        <v>2.2657929912245016E-2</v>
      </c>
      <c r="F14" s="46">
        <f>VLOOKUP(A14,'[17]Key Ratios'!$A$2:$M$32,11,)</f>
        <v>0</v>
      </c>
      <c r="G14" s="46">
        <f>VLOOKUP(A14,'[17]Key Ratios'!$A$2:$M$32,10,)</f>
        <v>4.9985578771952317E-2</v>
      </c>
      <c r="H14" s="46">
        <f>VLOOKUP(A14,'[17]Key Ratios'!$A$2:$M$32,9,)</f>
        <v>0</v>
      </c>
      <c r="I14" s="46">
        <f>VLOOKUP(A14,'[17]Key Ratios'!$A$2:$M$32,8,)</f>
        <v>0</v>
      </c>
      <c r="J14" s="46">
        <f>VLOOKUP(A14,'[17]Key Ratios'!$A$2:$M$32,7,)</f>
        <v>2.0790013862230755E-2</v>
      </c>
      <c r="K14" s="46">
        <v>0</v>
      </c>
      <c r="L14" s="46">
        <f>VLOOKUP(A14,'[17]Key Ratios'!$A$2:$M$32,13,)</f>
        <v>3.2653061224489799E-2</v>
      </c>
      <c r="M14" s="7">
        <f t="shared" si="3"/>
        <v>625.22415920414971</v>
      </c>
      <c r="N14" s="7">
        <f t="shared" si="4"/>
        <v>475117.42813028762</v>
      </c>
      <c r="O14" s="7">
        <f t="shared" si="5"/>
        <v>42678.627902050095</v>
      </c>
      <c r="P14" s="7">
        <f t="shared" si="6"/>
        <v>0</v>
      </c>
      <c r="Q14" s="7">
        <f t="shared" si="7"/>
        <v>32083.179903678185</v>
      </c>
      <c r="R14" s="7">
        <f t="shared" si="8"/>
        <v>0</v>
      </c>
      <c r="S14" s="7">
        <f t="shared" si="9"/>
        <v>0</v>
      </c>
      <c r="T14" s="7">
        <f t="shared" si="10"/>
        <v>98597.341392886694</v>
      </c>
      <c r="U14" s="7">
        <f t="shared" si="11"/>
        <v>0</v>
      </c>
      <c r="V14" s="7">
        <v>44140.970403587438</v>
      </c>
      <c r="W14" s="7">
        <f t="shared" si="12"/>
        <v>81701.719337783972</v>
      </c>
      <c r="X14" s="7">
        <f t="shared" si="13"/>
        <v>73656.958969876418</v>
      </c>
      <c r="Y14" s="7">
        <f t="shared" si="14"/>
        <v>8962.4386795772407</v>
      </c>
      <c r="Z14" s="7">
        <f t="shared" si="15"/>
        <v>35227.050195455886</v>
      </c>
      <c r="AA14" s="7">
        <f t="shared" si="16"/>
        <v>0</v>
      </c>
      <c r="AB14" s="7">
        <f t="shared" si="0"/>
        <v>892165.71491518349</v>
      </c>
      <c r="AC14" s="7">
        <f t="shared" si="1"/>
        <v>69466.006043283458</v>
      </c>
      <c r="AD14" s="7">
        <f t="shared" si="17"/>
        <v>349538.18775510206</v>
      </c>
      <c r="AE14" s="7">
        <f t="shared" si="18"/>
        <v>0</v>
      </c>
      <c r="AF14" s="7"/>
      <c r="AG14" s="7">
        <f t="shared" si="2"/>
        <v>419004.1937983855</v>
      </c>
    </row>
    <row r="15" spans="1:33" x14ac:dyDescent="0.2">
      <c r="A15" s="15" t="s">
        <v>30</v>
      </c>
      <c r="B15" s="1" t="s">
        <v>7</v>
      </c>
      <c r="C15" s="46">
        <f>VLOOKUP(A15,'[17]Key Ratios'!$A$2:$M$32,12,)</f>
        <v>2.3578183702552147E-2</v>
      </c>
      <c r="D15" s="46">
        <f>VLOOKUP(A15,'[17]Key Ratios'!$A$2:$D$32,4,)</f>
        <v>5.0767837825125822E-3</v>
      </c>
      <c r="E15" s="46">
        <f>VLOOKUP(A15,'[17]Key Ratios'!$A$2:$M$32,5,)</f>
        <v>6.2692508862672164E-3</v>
      </c>
      <c r="F15" s="46">
        <f>VLOOKUP(A15,'[17]Key Ratios'!$A$2:$M$32,11,)</f>
        <v>0</v>
      </c>
      <c r="G15" s="46">
        <f>VLOOKUP(A15,'[17]Key Ratios'!$A$2:$M$32,10,)</f>
        <v>1.3836367132418922E-2</v>
      </c>
      <c r="H15" s="46">
        <f>VLOOKUP(A15,'[17]Key Ratios'!$A$2:$M$32,9,)</f>
        <v>0</v>
      </c>
      <c r="I15" s="46">
        <f>VLOOKUP(A15,'[17]Key Ratios'!$A$2:$M$32,8,)</f>
        <v>0</v>
      </c>
      <c r="J15" s="46">
        <f>VLOOKUP(A15,'[17]Key Ratios'!$A$2:$M$32,7,)</f>
        <v>5.7548251226274254E-3</v>
      </c>
      <c r="K15" s="46">
        <v>0</v>
      </c>
      <c r="L15" s="46">
        <f>VLOOKUP(A15,'[17]Key Ratios'!$A$2:$M$32,13,)</f>
        <v>3.2653061224489799E-2</v>
      </c>
      <c r="M15" s="7">
        <f t="shared" si="3"/>
        <v>456.68547280998769</v>
      </c>
      <c r="N15" s="7">
        <f t="shared" si="4"/>
        <v>131515.9157526858</v>
      </c>
      <c r="O15" s="7">
        <f t="shared" si="5"/>
        <v>11808.802782773078</v>
      </c>
      <c r="P15" s="7">
        <f t="shared" si="6"/>
        <v>0</v>
      </c>
      <c r="Q15" s="7">
        <f t="shared" si="7"/>
        <v>8880.854575036421</v>
      </c>
      <c r="R15" s="7">
        <f t="shared" si="8"/>
        <v>0</v>
      </c>
      <c r="S15" s="7">
        <f t="shared" si="9"/>
        <v>0</v>
      </c>
      <c r="T15" s="7">
        <f t="shared" si="10"/>
        <v>27292.452089359718</v>
      </c>
      <c r="U15" s="7">
        <f t="shared" si="11"/>
        <v>0</v>
      </c>
      <c r="V15" s="7">
        <v>21738.598206278024</v>
      </c>
      <c r="W15" s="7">
        <f t="shared" si="12"/>
        <v>22615.622583162833</v>
      </c>
      <c r="X15" s="7">
        <f t="shared" si="13"/>
        <v>20388.775146814645</v>
      </c>
      <c r="Y15" s="7">
        <f t="shared" si="14"/>
        <v>2480.8673825340429</v>
      </c>
      <c r="Z15" s="7">
        <f t="shared" si="15"/>
        <v>35227.050195455886</v>
      </c>
      <c r="AA15" s="7">
        <f t="shared" si="16"/>
        <v>0</v>
      </c>
      <c r="AB15" s="7">
        <f t="shared" si="0"/>
        <v>281948.93871410046</v>
      </c>
      <c r="AC15" s="7">
        <f t="shared" si="1"/>
        <v>19228.689283018197</v>
      </c>
      <c r="AD15" s="7">
        <f t="shared" si="17"/>
        <v>349538.18775510206</v>
      </c>
      <c r="AE15" s="7">
        <f t="shared" si="18"/>
        <v>0</v>
      </c>
      <c r="AF15" s="7"/>
      <c r="AG15" s="7">
        <f t="shared" si="2"/>
        <v>368766.87703812023</v>
      </c>
    </row>
    <row r="16" spans="1:33" x14ac:dyDescent="0.2">
      <c r="A16" s="15" t="s">
        <v>31</v>
      </c>
      <c r="B16" s="1" t="s">
        <v>40</v>
      </c>
      <c r="C16" s="46">
        <f>VLOOKUP(A16,'[17]Key Ratios'!$A$2:$M$32,12,)</f>
        <v>0.1002180766075053</v>
      </c>
      <c r="D16" s="46">
        <f>VLOOKUP(A16,'[17]Key Ratios'!$A$2:$D$32,4,)</f>
        <v>0.1178213630591223</v>
      </c>
      <c r="E16" s="46">
        <f>VLOOKUP(A16,'[17]Key Ratios'!$A$2:$M$32,5,)</f>
        <v>0</v>
      </c>
      <c r="F16" s="46">
        <f>VLOOKUP(A16,'[17]Key Ratios'!$A$2:$M$32,11,)</f>
        <v>0</v>
      </c>
      <c r="G16" s="46">
        <f>VLOOKUP(A16,'[17]Key Ratios'!$A$2:$M$32,10,)</f>
        <v>0</v>
      </c>
      <c r="H16" s="46">
        <f>VLOOKUP(A16,'[17]Key Ratios'!$A$2:$M$32,9,)</f>
        <v>0</v>
      </c>
      <c r="I16" s="46">
        <f>VLOOKUP(A16,'[17]Key Ratios'!$A$2:$M$32,8,)</f>
        <v>0</v>
      </c>
      <c r="J16" s="46">
        <f>VLOOKUP(A16,'[17]Key Ratios'!$A$2:$M$32,7,)</f>
        <v>0</v>
      </c>
      <c r="K16" s="46">
        <v>1</v>
      </c>
      <c r="L16" s="46">
        <f>VLOOKUP(A16,'[17]Key Ratios'!$A$2:$M$32,13,)</f>
        <v>0</v>
      </c>
      <c r="M16" s="7">
        <f t="shared" si="3"/>
        <v>1941.1223645124155</v>
      </c>
      <c r="N16" s="7">
        <f t="shared" si="4"/>
        <v>3052204.9237797596</v>
      </c>
      <c r="O16" s="7">
        <f t="shared" si="5"/>
        <v>0</v>
      </c>
      <c r="P16" s="7">
        <f t="shared" si="6"/>
        <v>0</v>
      </c>
      <c r="Q16" s="7">
        <f t="shared" si="7"/>
        <v>0</v>
      </c>
      <c r="R16" s="7">
        <f t="shared" si="8"/>
        <v>0</v>
      </c>
      <c r="S16" s="7">
        <f t="shared" si="9"/>
        <v>0</v>
      </c>
      <c r="T16" s="7">
        <f t="shared" si="10"/>
        <v>0</v>
      </c>
      <c r="U16" s="7">
        <f t="shared" si="11"/>
        <v>3100858.1606013379</v>
      </c>
      <c r="V16" s="7">
        <v>101598.90650224213</v>
      </c>
      <c r="W16" s="7">
        <f t="shared" si="12"/>
        <v>524860.54032030457</v>
      </c>
      <c r="X16" s="7">
        <f t="shared" si="13"/>
        <v>473180.14353464427</v>
      </c>
      <c r="Y16" s="7">
        <f t="shared" si="14"/>
        <v>57575.659925862419</v>
      </c>
      <c r="Z16" s="7">
        <f t="shared" si="15"/>
        <v>0</v>
      </c>
      <c r="AA16" s="7">
        <f t="shared" si="16"/>
        <v>0</v>
      </c>
      <c r="AB16" s="7">
        <f t="shared" si="0"/>
        <v>7310278.3346641511</v>
      </c>
      <c r="AC16" s="7">
        <f t="shared" si="1"/>
        <v>446257.01590235613</v>
      </c>
      <c r="AD16" s="7">
        <f t="shared" si="17"/>
        <v>0</v>
      </c>
      <c r="AE16" s="7">
        <f t="shared" si="18"/>
        <v>0</v>
      </c>
      <c r="AF16" s="7"/>
      <c r="AG16" s="7">
        <f t="shared" si="2"/>
        <v>446257.01590235613</v>
      </c>
    </row>
    <row r="17" spans="1:33" x14ac:dyDescent="0.2">
      <c r="A17" s="15" t="s">
        <v>138</v>
      </c>
      <c r="B17" s="1" t="s">
        <v>11</v>
      </c>
      <c r="C17" s="46">
        <f>VLOOKUP(A17,'[17]Key Ratios'!$A$2:$M$32,12,)</f>
        <v>1.9896791466943037E-2</v>
      </c>
      <c r="D17" s="46">
        <f>VLOOKUP(A17,'[17]Key Ratios'!$A$2:$D$32,4,)</f>
        <v>9.1717228728658111E-3</v>
      </c>
      <c r="E17" s="46">
        <f>VLOOKUP(A17,'[17]Key Ratios'!$A$2:$M$32,5,)</f>
        <v>1.627244725983611E-3</v>
      </c>
      <c r="F17" s="46">
        <f>VLOOKUP(A17,'[17]Key Ratios'!$A$2:$M$32,11,)</f>
        <v>0.1078114912846998</v>
      </c>
      <c r="G17" s="46">
        <f>VLOOKUP(A17,'[17]Key Ratios'!$A$2:$M$32,10,)</f>
        <v>0</v>
      </c>
      <c r="H17" s="46">
        <f>VLOOKUP(A17,'[17]Key Ratios'!$A$2:$M$32,9,)</f>
        <v>0</v>
      </c>
      <c r="I17" s="46">
        <f>VLOOKUP(A17,'[17]Key Ratios'!$A$2:$M$32,8,)</f>
        <v>0</v>
      </c>
      <c r="J17" s="46">
        <f>VLOOKUP(A17,'[17]Key Ratios'!$A$2:$M$32,7,)</f>
        <v>1.0396673064619321E-2</v>
      </c>
      <c r="K17" s="46">
        <v>0</v>
      </c>
      <c r="L17" s="46">
        <f>VLOOKUP(A17,'[17]Key Ratios'!$A$2:$M$32,13,)</f>
        <v>0</v>
      </c>
      <c r="M17" s="7">
        <f t="shared" si="3"/>
        <v>385.38064395091897</v>
      </c>
      <c r="N17" s="7">
        <f t="shared" si="4"/>
        <v>237596.79047387358</v>
      </c>
      <c r="O17" s="7">
        <f t="shared" si="5"/>
        <v>3065.0890189353063</v>
      </c>
      <c r="P17" s="7">
        <f t="shared" si="6"/>
        <v>20081.480471271789</v>
      </c>
      <c r="Q17" s="7">
        <f t="shared" si="7"/>
        <v>0</v>
      </c>
      <c r="R17" s="7">
        <f t="shared" si="8"/>
        <v>0</v>
      </c>
      <c r="S17" s="7">
        <f t="shared" si="9"/>
        <v>0</v>
      </c>
      <c r="T17" s="7">
        <f t="shared" si="10"/>
        <v>49306.572390736721</v>
      </c>
      <c r="U17" s="7">
        <f t="shared" si="11"/>
        <v>0</v>
      </c>
      <c r="V17" s="7">
        <v>14685.999551569505</v>
      </c>
      <c r="W17" s="7">
        <f t="shared" si="12"/>
        <v>40857.407330323127</v>
      </c>
      <c r="X17" s="7">
        <f t="shared" si="13"/>
        <v>36834.382430840582</v>
      </c>
      <c r="Y17" s="7">
        <f t="shared" si="14"/>
        <v>4481.937599019232</v>
      </c>
      <c r="Z17" s="7">
        <f t="shared" si="15"/>
        <v>0</v>
      </c>
      <c r="AA17" s="7">
        <f t="shared" si="16"/>
        <v>0</v>
      </c>
      <c r="AB17" s="7">
        <f t="shared" si="0"/>
        <v>406909.65926656983</v>
      </c>
      <c r="AC17" s="7">
        <f t="shared" si="1"/>
        <v>34738.570100183424</v>
      </c>
      <c r="AD17" s="7">
        <f t="shared" si="17"/>
        <v>0</v>
      </c>
      <c r="AE17" s="7">
        <f t="shared" si="18"/>
        <v>0</v>
      </c>
      <c r="AF17" s="7"/>
      <c r="AG17" s="7">
        <f t="shared" si="2"/>
        <v>34738.570100183424</v>
      </c>
    </row>
    <row r="18" spans="1:33" x14ac:dyDescent="0.2">
      <c r="A18" s="15" t="s">
        <v>32</v>
      </c>
      <c r="B18" s="1" t="s">
        <v>7</v>
      </c>
      <c r="C18" s="46">
        <f>VLOOKUP(A18,'[17]Key Ratios'!$A$2:$M$32,12,)</f>
        <v>1.9562119445524037E-2</v>
      </c>
      <c r="D18" s="46">
        <f>VLOOKUP(A18,'[17]Key Ratios'!$A$2:$D$32,4,)</f>
        <v>5.6411974977658621E-3</v>
      </c>
      <c r="E18" s="46">
        <f>VLOOKUP(A18,'[17]Key Ratios'!$A$2:$M$32,5,)</f>
        <v>6.9666414831173369E-3</v>
      </c>
      <c r="F18" s="46">
        <f>VLOOKUP(A18,'[17]Key Ratios'!$A$2:$M$32,11,)</f>
        <v>0</v>
      </c>
      <c r="G18" s="46">
        <f>VLOOKUP(A18,'[17]Key Ratios'!$A$2:$M$32,10,)</f>
        <v>1.5374631457505448E-2</v>
      </c>
      <c r="H18" s="46">
        <f>VLOOKUP(A18,'[17]Key Ratios'!$A$2:$M$32,9,)</f>
        <v>0</v>
      </c>
      <c r="I18" s="46">
        <f>VLOOKUP(A18,'[17]Key Ratios'!$A$2:$M$32,8,)</f>
        <v>0</v>
      </c>
      <c r="J18" s="46">
        <f>VLOOKUP(A18,'[17]Key Ratios'!$A$2:$M$32,7,)</f>
        <v>6.3946203881424602E-3</v>
      </c>
      <c r="K18" s="46">
        <v>0</v>
      </c>
      <c r="L18" s="46">
        <f>VLOOKUP(A18,'[17]Key Ratios'!$A$2:$M$32,13,)</f>
        <v>3.2653061224489799E-2</v>
      </c>
      <c r="M18" s="7">
        <f t="shared" si="3"/>
        <v>378.8983867819129</v>
      </c>
      <c r="N18" s="7">
        <f t="shared" si="4"/>
        <v>146137.25670492416</v>
      </c>
      <c r="O18" s="7">
        <f t="shared" si="5"/>
        <v>13122.412362316783</v>
      </c>
      <c r="P18" s="7">
        <f t="shared" si="6"/>
        <v>0</v>
      </c>
      <c r="Q18" s="7">
        <f t="shared" si="7"/>
        <v>9868.1875677445805</v>
      </c>
      <c r="R18" s="7">
        <f t="shared" si="8"/>
        <v>0</v>
      </c>
      <c r="S18" s="7">
        <f t="shared" si="9"/>
        <v>0</v>
      </c>
      <c r="T18" s="7">
        <f t="shared" si="10"/>
        <v>30326.702698020439</v>
      </c>
      <c r="U18" s="7">
        <f t="shared" si="11"/>
        <v>0</v>
      </c>
      <c r="V18" s="7">
        <v>21614.140582959637</v>
      </c>
      <c r="W18" s="7">
        <f t="shared" si="12"/>
        <v>25129.924572721178</v>
      </c>
      <c r="X18" s="7">
        <f t="shared" si="13"/>
        <v>22655.506373327909</v>
      </c>
      <c r="Y18" s="7">
        <f t="shared" si="14"/>
        <v>2756.6789270890722</v>
      </c>
      <c r="Z18" s="7">
        <f t="shared" si="15"/>
        <v>35227.050195455886</v>
      </c>
      <c r="AA18" s="7">
        <f t="shared" si="16"/>
        <v>0</v>
      </c>
      <c r="AB18" s="7">
        <f t="shared" si="0"/>
        <v>306837.85998455971</v>
      </c>
      <c r="AC18" s="7">
        <f t="shared" si="1"/>
        <v>21366.447443029483</v>
      </c>
      <c r="AD18" s="7">
        <f t="shared" si="17"/>
        <v>349538.18775510206</v>
      </c>
      <c r="AE18" s="7">
        <f t="shared" si="18"/>
        <v>0</v>
      </c>
      <c r="AF18" s="7"/>
      <c r="AG18" s="7">
        <f t="shared" si="2"/>
        <v>370904.63519813155</v>
      </c>
    </row>
    <row r="19" spans="1:33" x14ac:dyDescent="0.2">
      <c r="A19" s="15" t="s">
        <v>19</v>
      </c>
      <c r="B19" s="1" t="s">
        <v>5</v>
      </c>
      <c r="C19" s="46">
        <f>VLOOKUP(A19,'[17]Key Ratios'!$A$2:$M$32,12,)</f>
        <v>3.6965064559312512E-2</v>
      </c>
      <c r="D19" s="46">
        <f>VLOOKUP(A19,'[17]Key Ratios'!$A$2:$D$32,4,)</f>
        <v>5.8887164291425612E-2</v>
      </c>
      <c r="E19" s="46">
        <f>VLOOKUP(A19,'[17]Key Ratios'!$A$2:$M$32,5,)</f>
        <v>6.0579996513047012E-2</v>
      </c>
      <c r="F19" s="46">
        <f>VLOOKUP(A19,'[17]Key Ratios'!$A$2:$M$32,11,)</f>
        <v>0.13686249193027755</v>
      </c>
      <c r="G19" s="46">
        <f>VLOOKUP(A19,'[17]Key Ratios'!$A$2:$M$32,10,)</f>
        <v>0</v>
      </c>
      <c r="H19" s="46">
        <f>VLOOKUP(A19,'[17]Key Ratios'!$A$2:$M$32,9,)</f>
        <v>0.42686668939652228</v>
      </c>
      <c r="I19" s="46">
        <f>VLOOKUP(A19,'[17]Key Ratios'!$A$2:$M$32,8,)</f>
        <v>0</v>
      </c>
      <c r="J19" s="46">
        <f>VLOOKUP(A19,'[17]Key Ratios'!$A$2:$M$32,7,)</f>
        <v>6.6751972702068674E-2</v>
      </c>
      <c r="K19" s="46">
        <v>0</v>
      </c>
      <c r="L19" s="46">
        <f>VLOOKUP(A19,'[17]Key Ratios'!$A$2:$M$32,13,)</f>
        <v>2.9659863945578228E-2</v>
      </c>
      <c r="M19" s="7">
        <f t="shared" si="3"/>
        <v>715.97575957023685</v>
      </c>
      <c r="N19" s="7">
        <f t="shared" si="4"/>
        <v>1525493.2393502037</v>
      </c>
      <c r="O19" s="7">
        <f t="shared" si="5"/>
        <v>114108.88547636298</v>
      </c>
      <c r="P19" s="7">
        <f t="shared" si="6"/>
        <v>25492.657843770165</v>
      </c>
      <c r="Q19" s="7">
        <f t="shared" si="7"/>
        <v>0</v>
      </c>
      <c r="R19" s="7">
        <f t="shared" si="8"/>
        <v>239267.10112315745</v>
      </c>
      <c r="S19" s="7">
        <f t="shared" si="9"/>
        <v>0</v>
      </c>
      <c r="T19" s="7">
        <f t="shared" si="10"/>
        <v>316573.48017026862</v>
      </c>
      <c r="U19" s="7">
        <f t="shared" si="11"/>
        <v>0</v>
      </c>
      <c r="V19" s="7">
        <v>67290.088340807168</v>
      </c>
      <c r="W19" s="7">
        <f t="shared" si="12"/>
        <v>262325.50757725409</v>
      </c>
      <c r="X19" s="7">
        <f t="shared" si="13"/>
        <v>236495.62463288414</v>
      </c>
      <c r="Y19" s="7">
        <f t="shared" si="14"/>
        <v>28776.337815241426</v>
      </c>
      <c r="Z19" s="7">
        <f t="shared" si="15"/>
        <v>31997.903927539093</v>
      </c>
      <c r="AA19" s="7">
        <f t="shared" si="16"/>
        <v>0</v>
      </c>
      <c r="AB19" s="7">
        <f t="shared" si="0"/>
        <v>2847820.8262574887</v>
      </c>
      <c r="AC19" s="7">
        <f t="shared" si="1"/>
        <v>223039.43469451097</v>
      </c>
      <c r="AD19" s="7">
        <f t="shared" si="17"/>
        <v>317497.18721088429</v>
      </c>
      <c r="AE19" s="7">
        <f t="shared" si="18"/>
        <v>0</v>
      </c>
      <c r="AF19" s="7"/>
      <c r="AG19" s="7">
        <f t="shared" si="2"/>
        <v>540536.6219053953</v>
      </c>
    </row>
    <row r="20" spans="1:33" x14ac:dyDescent="0.2">
      <c r="A20" s="15" t="s">
        <v>20</v>
      </c>
      <c r="B20" s="1" t="s">
        <v>5</v>
      </c>
      <c r="C20" s="46">
        <f>VLOOKUP(A20,'[17]Key Ratios'!$A$2:$M$32,12,)</f>
        <v>1.2534006995724838E-2</v>
      </c>
      <c r="D20" s="46">
        <f>VLOOKUP(A20,'[17]Key Ratios'!$A$2:$D$32,4,)</f>
        <v>2.7279996237241897E-2</v>
      </c>
      <c r="E20" s="46">
        <f>VLOOKUP(A20,'[17]Key Ratios'!$A$2:$M$32,5,)</f>
        <v>3.3672342651246585E-2</v>
      </c>
      <c r="F20" s="46">
        <f>VLOOKUP(A20,'[17]Key Ratios'!$A$2:$M$32,11,)</f>
        <v>0</v>
      </c>
      <c r="G20" s="46">
        <f>VLOOKUP(A20,'[17]Key Ratios'!$A$2:$M$32,10,)</f>
        <v>0</v>
      </c>
      <c r="H20" s="46">
        <f>VLOOKUP(A20,'[17]Key Ratios'!$A$2:$M$32,9,)</f>
        <v>0.19774974428912379</v>
      </c>
      <c r="I20" s="46">
        <f>VLOOKUP(A20,'[17]Key Ratios'!$A$2:$M$32,8,)</f>
        <v>0</v>
      </c>
      <c r="J20" s="46">
        <f>VLOOKUP(A20,'[17]Key Ratios'!$A$2:$M$32,7,)</f>
        <v>3.0923437833226704E-2</v>
      </c>
      <c r="K20" s="46">
        <v>0</v>
      </c>
      <c r="L20" s="46">
        <f>VLOOKUP(A20,'[17]Key Ratios'!$A$2:$M$32,13,)</f>
        <v>2.9659863945578228E-2</v>
      </c>
      <c r="M20" s="7">
        <f t="shared" si="3"/>
        <v>242.77098623278195</v>
      </c>
      <c r="N20" s="7">
        <f t="shared" si="4"/>
        <v>706698.14602485474</v>
      </c>
      <c r="O20" s="7">
        <f t="shared" si="5"/>
        <v>63425.449198968454</v>
      </c>
      <c r="P20" s="7">
        <f t="shared" si="6"/>
        <v>0</v>
      </c>
      <c r="Q20" s="7">
        <f t="shared" si="7"/>
        <v>0</v>
      </c>
      <c r="R20" s="7">
        <f t="shared" si="8"/>
        <v>110842.58678229341</v>
      </c>
      <c r="S20" s="7">
        <f t="shared" si="9"/>
        <v>0</v>
      </c>
      <c r="T20" s="7">
        <f t="shared" si="10"/>
        <v>146655.44608526822</v>
      </c>
      <c r="U20" s="7">
        <f t="shared" si="11"/>
        <v>0</v>
      </c>
      <c r="V20" s="7">
        <v>16469.892152466367</v>
      </c>
      <c r="W20" s="7">
        <f t="shared" si="12"/>
        <v>121524.59616198673</v>
      </c>
      <c r="X20" s="7">
        <f t="shared" si="13"/>
        <v>109558.67594814122</v>
      </c>
      <c r="Y20" s="7">
        <f t="shared" si="14"/>
        <v>13330.891320159766</v>
      </c>
      <c r="Z20" s="7">
        <f t="shared" si="15"/>
        <v>31997.903927539093</v>
      </c>
      <c r="AA20" s="7">
        <f t="shared" si="16"/>
        <v>0</v>
      </c>
      <c r="AB20" s="7">
        <f t="shared" si="0"/>
        <v>1320503.5876016777</v>
      </c>
      <c r="AC20" s="7">
        <f t="shared" si="1"/>
        <v>103324.97773387888</v>
      </c>
      <c r="AD20" s="7">
        <f t="shared" si="17"/>
        <v>317497.18721088429</v>
      </c>
      <c r="AE20" s="7">
        <f t="shared" si="18"/>
        <v>0</v>
      </c>
      <c r="AF20" s="7"/>
      <c r="AG20" s="7">
        <f t="shared" si="2"/>
        <v>420822.16494476318</v>
      </c>
    </row>
    <row r="21" spans="1:33" x14ac:dyDescent="0.2">
      <c r="A21" s="15" t="s">
        <v>38</v>
      </c>
      <c r="B21" s="1" t="s">
        <v>13</v>
      </c>
      <c r="C21" s="46">
        <f>VLOOKUP(A21,'[17]Key Ratios'!$A$2:$M$32,12,)</f>
        <v>7.3778986915403549E-2</v>
      </c>
      <c r="D21" s="46">
        <f>VLOOKUP(A21,'[17]Key Ratios'!$A$2:$D$32,4,)</f>
        <v>9.7126193499835381E-2</v>
      </c>
      <c r="E21" s="46">
        <f>VLOOKUP(A21,'[17]Key Ratios'!$A$2:$M$32,5,)</f>
        <v>0.1200092985412913</v>
      </c>
      <c r="F21" s="46">
        <f>VLOOKUP(A21,'[17]Key Ratios'!$A$2:$M$32,11,)</f>
        <v>0</v>
      </c>
      <c r="G21" s="46">
        <f>VLOOKUP(A21,'[17]Key Ratios'!$A$2:$M$32,10,)</f>
        <v>0</v>
      </c>
      <c r="H21" s="46">
        <f>VLOOKUP(A21,'[17]Key Ratios'!$A$2:$M$32,9,)</f>
        <v>0</v>
      </c>
      <c r="I21" s="46">
        <f>VLOOKUP(A21,'[17]Key Ratios'!$A$2:$M$32,8,)</f>
        <v>0.30053849512443598</v>
      </c>
      <c r="J21" s="46">
        <f>VLOOKUP(A21,'[17]Key Ratios'!$A$2:$M$32,7,)</f>
        <v>0.1100981019407123</v>
      </c>
      <c r="K21" s="46">
        <v>0</v>
      </c>
      <c r="L21" s="46">
        <f>VLOOKUP(A21,'[17]Key Ratios'!$A$2:$M$32,13,)</f>
        <v>5.4875283446712018E-2</v>
      </c>
      <c r="M21" s="7">
        <f t="shared" si="3"/>
        <v>1429.0240481609228</v>
      </c>
      <c r="N21" s="7">
        <f t="shared" si="4"/>
        <v>2516089.0888643535</v>
      </c>
      <c r="O21" s="7">
        <f t="shared" si="5"/>
        <v>226050.31514647882</v>
      </c>
      <c r="P21" s="7">
        <f t="shared" si="6"/>
        <v>0</v>
      </c>
      <c r="Q21" s="7">
        <f t="shared" si="7"/>
        <v>0</v>
      </c>
      <c r="R21" s="7">
        <f t="shared" si="8"/>
        <v>0</v>
      </c>
      <c r="S21" s="7">
        <f t="shared" si="9"/>
        <v>214484.28803943101</v>
      </c>
      <c r="T21" s="7">
        <f t="shared" si="10"/>
        <v>522143.9589070325</v>
      </c>
      <c r="U21" s="7">
        <f t="shared" si="11"/>
        <v>0</v>
      </c>
      <c r="V21" s="7">
        <v>68742.093946188324</v>
      </c>
      <c r="W21" s="7">
        <f t="shared" si="12"/>
        <v>432669.4673698321</v>
      </c>
      <c r="X21" s="7">
        <f t="shared" si="13"/>
        <v>390066.66522915795</v>
      </c>
      <c r="Y21" s="7">
        <f t="shared" si="14"/>
        <v>47462.569958844688</v>
      </c>
      <c r="Z21" s="7">
        <f t="shared" si="15"/>
        <v>59201.014911807812</v>
      </c>
      <c r="AA21" s="7">
        <f t="shared" si="16"/>
        <v>91681.478208932633</v>
      </c>
      <c r="AB21" s="7">
        <f t="shared" si="0"/>
        <v>4568590.9405820593</v>
      </c>
      <c r="AC21" s="7">
        <f t="shared" si="1"/>
        <v>367872.55003527575</v>
      </c>
      <c r="AD21" s="7">
        <f t="shared" si="17"/>
        <v>587418.34331065766</v>
      </c>
      <c r="AE21" s="7">
        <f t="shared" si="18"/>
        <v>116855.36264735846</v>
      </c>
      <c r="AF21" s="7"/>
      <c r="AG21" s="7">
        <f t="shared" si="2"/>
        <v>1072146.255993292</v>
      </c>
    </row>
    <row r="22" spans="1:33" x14ac:dyDescent="0.2">
      <c r="A22" s="15" t="s">
        <v>21</v>
      </c>
      <c r="B22" s="1" t="s">
        <v>13</v>
      </c>
      <c r="C22" s="46">
        <f>VLOOKUP(A22,'[17]Key Ratios'!$A$2:$M$32,12,)</f>
        <v>0.17016452908407831</v>
      </c>
      <c r="D22" s="46">
        <f>VLOOKUP(A22,'[17]Key Ratios'!$A$2:$D$32,4,)</f>
        <v>9.7643572738817547E-2</v>
      </c>
      <c r="E22" s="46">
        <f>VLOOKUP(A22,'[17]Key Ratios'!$A$2:$M$32,5,)</f>
        <v>0.1104201778346022</v>
      </c>
      <c r="F22" s="46">
        <f>VLOOKUP(A22,'[17]Key Ratios'!$A$2:$M$32,11,)+F35</f>
        <v>0.11426726920593933</v>
      </c>
      <c r="G22" s="46">
        <f>VLOOKUP(A22,'[17]Key Ratios'!$A$2:$M$32,10,)</f>
        <v>0</v>
      </c>
      <c r="H22" s="46">
        <f>VLOOKUP(A22,'[17]Key Ratios'!$A$2:$M$32,9,)</f>
        <v>0</v>
      </c>
      <c r="I22" s="46">
        <f>VLOOKUP(A22,'[17]Key Ratios'!$A$2:$M$32,8,)</f>
        <v>0.30213942657546211</v>
      </c>
      <c r="J22" s="46">
        <f>VLOOKUP(A22,'[17]Key Ratios'!$A$2:$M$32,7,)</f>
        <v>0.11068458093410111</v>
      </c>
      <c r="K22" s="46">
        <v>0</v>
      </c>
      <c r="L22" s="46">
        <f>VLOOKUP(A22,'[17]Key Ratios'!$A$2:$M$32,13,)</f>
        <v>5.4875283446712018E-2</v>
      </c>
      <c r="M22" s="7">
        <f t="shared" si="3"/>
        <v>3295.9141128347196</v>
      </c>
      <c r="N22" s="7">
        <f t="shared" si="4"/>
        <v>2529491.9847372384</v>
      </c>
      <c r="O22" s="7">
        <f t="shared" si="5"/>
        <v>207988.18342775296</v>
      </c>
      <c r="P22" s="7">
        <f t="shared" si="6"/>
        <v>21283.964331826988</v>
      </c>
      <c r="Q22" s="7">
        <f t="shared" si="7"/>
        <v>0</v>
      </c>
      <c r="R22" s="7">
        <f t="shared" si="8"/>
        <v>0</v>
      </c>
      <c r="S22" s="7">
        <f t="shared" si="9"/>
        <v>215626.81935586387</v>
      </c>
      <c r="T22" s="7">
        <f t="shared" si="10"/>
        <v>524925.35529830493</v>
      </c>
      <c r="U22" s="7">
        <f t="shared" si="11"/>
        <v>0</v>
      </c>
      <c r="V22" s="7">
        <v>86124.675336322864</v>
      </c>
      <c r="W22" s="7">
        <f t="shared" si="12"/>
        <v>434974.24419359386</v>
      </c>
      <c r="X22" s="7">
        <f t="shared" si="13"/>
        <v>392144.50218679511</v>
      </c>
      <c r="Y22" s="7">
        <f t="shared" si="14"/>
        <v>47715.397208020127</v>
      </c>
      <c r="Z22" s="7">
        <f t="shared" si="15"/>
        <v>59201.014911807812</v>
      </c>
      <c r="AA22" s="7">
        <f t="shared" si="16"/>
        <v>92169.854121910015</v>
      </c>
      <c r="AB22" s="7">
        <f t="shared" si="0"/>
        <v>4611645.995109438</v>
      </c>
      <c r="AC22" s="7">
        <f t="shared" si="1"/>
        <v>369832.16168195271</v>
      </c>
      <c r="AD22" s="7">
        <f t="shared" si="17"/>
        <v>587418.34331065766</v>
      </c>
      <c r="AE22" s="7">
        <f t="shared" si="18"/>
        <v>117477.83673409987</v>
      </c>
      <c r="AF22" s="7"/>
      <c r="AG22" s="7">
        <f t="shared" si="2"/>
        <v>1074728.3417267101</v>
      </c>
    </row>
    <row r="23" spans="1:33" x14ac:dyDescent="0.2">
      <c r="A23" s="15" t="s">
        <v>33</v>
      </c>
      <c r="B23" s="1" t="s">
        <v>11</v>
      </c>
      <c r="C23" s="46">
        <f>VLOOKUP(A23,'[17]Key Ratios'!$A$2:$M$32,12,)</f>
        <v>4.2319816902016666E-2</v>
      </c>
      <c r="D23" s="46">
        <f>VLOOKUP(A23,'[17]Key Ratios'!$A$2:$D$32,4,)</f>
        <v>3.3300409199943558E-2</v>
      </c>
      <c r="E23" s="46">
        <f>VLOOKUP(A23,'[17]Key Ratios'!$A$2:$M$32,5,)</f>
        <v>5.1141977102342074E-3</v>
      </c>
      <c r="F23" s="46">
        <f>VLOOKUP(A23,'[17]Key Ratios'!$A$2:$M$32,11,)</f>
        <v>0.40025823111684961</v>
      </c>
      <c r="G23" s="46">
        <f>VLOOKUP(A23,'[17]Key Ratios'!$A$2:$M$32,10,)</f>
        <v>0</v>
      </c>
      <c r="H23" s="46">
        <f>VLOOKUP(A23,'[17]Key Ratios'!$A$2:$M$32,9,)</f>
        <v>0</v>
      </c>
      <c r="I23" s="46">
        <f>VLOOKUP(A23,'[17]Key Ratios'!$A$2:$M$32,8,)</f>
        <v>0</v>
      </c>
      <c r="J23" s="46">
        <f>VLOOKUP(A23,'[17]Key Ratios'!$A$2:$M$32,7,)</f>
        <v>3.7747920665387083E-2</v>
      </c>
      <c r="K23" s="46">
        <v>0</v>
      </c>
      <c r="L23" s="46">
        <f>VLOOKUP(A23,'[17]Key Ratios'!$A$2:$M$32,13,)</f>
        <v>0</v>
      </c>
      <c r="M23" s="7">
        <f t="shared" si="3"/>
        <v>819.69187427433678</v>
      </c>
      <c r="N23" s="7">
        <f t="shared" si="4"/>
        <v>862659.11618206406</v>
      </c>
      <c r="O23" s="7">
        <f t="shared" si="5"/>
        <v>9633.1369166538225</v>
      </c>
      <c r="P23" s="7">
        <f t="shared" si="6"/>
        <v>74553.999354422209</v>
      </c>
      <c r="Q23" s="7">
        <f t="shared" si="7"/>
        <v>0</v>
      </c>
      <c r="R23" s="7">
        <f t="shared" si="8"/>
        <v>0</v>
      </c>
      <c r="S23" s="7">
        <f t="shared" si="9"/>
        <v>0</v>
      </c>
      <c r="T23" s="7">
        <f t="shared" si="10"/>
        <v>179020.78591098261</v>
      </c>
      <c r="U23" s="7">
        <f t="shared" si="11"/>
        <v>0</v>
      </c>
      <c r="V23" s="7">
        <v>33479.100672645734</v>
      </c>
      <c r="W23" s="7">
        <f t="shared" si="12"/>
        <v>148343.81738394243</v>
      </c>
      <c r="X23" s="7">
        <f t="shared" si="13"/>
        <v>133737.14236428271</v>
      </c>
      <c r="Y23" s="7">
        <f t="shared" si="14"/>
        <v>16272.881128746749</v>
      </c>
      <c r="Z23" s="7">
        <f t="shared" si="15"/>
        <v>0</v>
      </c>
      <c r="AA23" s="7">
        <f t="shared" si="16"/>
        <v>0</v>
      </c>
      <c r="AB23" s="7">
        <f t="shared" si="0"/>
        <v>1457699.9799137402</v>
      </c>
      <c r="AC23" s="7">
        <f t="shared" si="1"/>
        <v>126127.73144066596</v>
      </c>
      <c r="AD23" s="7">
        <f t="shared" si="17"/>
        <v>0</v>
      </c>
      <c r="AE23" s="7">
        <f t="shared" si="18"/>
        <v>0</v>
      </c>
      <c r="AF23" s="7"/>
      <c r="AG23" s="7">
        <f t="shared" si="2"/>
        <v>126127.73144066596</v>
      </c>
    </row>
    <row r="24" spans="1:33" x14ac:dyDescent="0.2">
      <c r="A24" s="15" t="s">
        <v>22</v>
      </c>
      <c r="B24" s="1" t="s">
        <v>7</v>
      </c>
      <c r="C24" s="46">
        <f>VLOOKUP(A24,'[17]Key Ratios'!$A$2:$M$32,12,)</f>
        <v>3.3953016366541432E-2</v>
      </c>
      <c r="D24" s="46">
        <f>VLOOKUP(A24,'[17]Key Ratios'!$A$2:$D$32,4,)</f>
        <v>1.4954023799444991E-2</v>
      </c>
      <c r="E24" s="46">
        <f>VLOOKUP(A24,'[17]Key Ratios'!$A$2:$M$32,5,)</f>
        <v>1.8473586331144296E-2</v>
      </c>
      <c r="F24" s="46">
        <f>VLOOKUP(A24,'[17]Key Ratios'!$A$2:$M$32,11,)</f>
        <v>0</v>
      </c>
      <c r="G24" s="46">
        <f>VLOOKUP(A24,'[17]Key Ratios'!$A$2:$M$32,10,)</f>
        <v>4.0755992821433148E-2</v>
      </c>
      <c r="H24" s="46">
        <f>VLOOKUP(A24,'[17]Key Ratios'!$A$2:$M$32,9,)</f>
        <v>0</v>
      </c>
      <c r="I24" s="46">
        <f>VLOOKUP(A24,'[17]Key Ratios'!$A$2:$M$32,8,)</f>
        <v>0</v>
      </c>
      <c r="J24" s="46">
        <f>VLOOKUP(A24,'[17]Key Ratios'!$A$2:$M$32,7,)</f>
        <v>1.6951242269140545E-2</v>
      </c>
      <c r="K24" s="46">
        <v>0</v>
      </c>
      <c r="L24" s="46">
        <f>VLOOKUP(A24,'[17]Key Ratios'!$A$2:$M$32,13,)</f>
        <v>3.2653061224489799E-2</v>
      </c>
      <c r="M24" s="7">
        <f t="shared" si="3"/>
        <v>657.63544504918082</v>
      </c>
      <c r="N24" s="7">
        <f t="shared" si="4"/>
        <v>387389.38241685729</v>
      </c>
      <c r="O24" s="7">
        <f t="shared" si="5"/>
        <v>34796.970424787869</v>
      </c>
      <c r="P24" s="7">
        <f t="shared" si="6"/>
        <v>0</v>
      </c>
      <c r="Q24" s="7">
        <f t="shared" si="7"/>
        <v>26159.181947429221</v>
      </c>
      <c r="R24" s="7">
        <f t="shared" si="8"/>
        <v>0</v>
      </c>
      <c r="S24" s="7">
        <f t="shared" si="9"/>
        <v>0</v>
      </c>
      <c r="T24" s="7">
        <f t="shared" si="10"/>
        <v>80391.837740922361</v>
      </c>
      <c r="U24" s="7">
        <f t="shared" si="11"/>
        <v>0</v>
      </c>
      <c r="V24" s="7">
        <v>42896.394170403582</v>
      </c>
      <c r="W24" s="7">
        <f t="shared" si="12"/>
        <v>66615.907400433876</v>
      </c>
      <c r="X24" s="7">
        <f t="shared" si="13"/>
        <v>60056.571610796804</v>
      </c>
      <c r="Y24" s="7">
        <f t="shared" si="14"/>
        <v>7307.5694122470604</v>
      </c>
      <c r="Z24" s="7">
        <f t="shared" si="15"/>
        <v>35227.050195455886</v>
      </c>
      <c r="AA24" s="7">
        <f t="shared" si="16"/>
        <v>0</v>
      </c>
      <c r="AB24" s="7">
        <f t="shared" si="0"/>
        <v>740840.86531933397</v>
      </c>
      <c r="AC24" s="7">
        <f t="shared" si="1"/>
        <v>56639.457083215719</v>
      </c>
      <c r="AD24" s="7">
        <f t="shared" si="17"/>
        <v>349538.18775510206</v>
      </c>
      <c r="AE24" s="7">
        <f t="shared" si="18"/>
        <v>0</v>
      </c>
      <c r="AF24" s="7"/>
      <c r="AG24" s="7">
        <f t="shared" si="2"/>
        <v>406177.64483831776</v>
      </c>
    </row>
    <row r="25" spans="1:33" x14ac:dyDescent="0.2">
      <c r="A25" s="15" t="s">
        <v>23</v>
      </c>
      <c r="B25" s="1" t="s">
        <v>7</v>
      </c>
      <c r="C25" s="46">
        <f>VLOOKUP(A25,'[17]Key Ratios'!$A$2:$M$32,12,)</f>
        <v>2.0900807531200067E-2</v>
      </c>
      <c r="D25" s="46">
        <f>VLOOKUP(A25,'[17]Key Ratios'!$A$2:$D$32,4,)</f>
        <v>1.2931541319787401E-2</v>
      </c>
      <c r="E25" s="46">
        <f>VLOOKUP(A25,'[17]Key Ratios'!$A$2:$M$32,5,)</f>
        <v>1.5974603359098036E-2</v>
      </c>
      <c r="F25" s="46">
        <f>VLOOKUP(A25,'[17]Key Ratios'!$A$2:$M$32,11,)</f>
        <v>0</v>
      </c>
      <c r="G25" s="46">
        <f>VLOOKUP(A25,'[17]Key Ratios'!$A$2:$M$32,10,)</f>
        <v>3.5243878989873093E-2</v>
      </c>
      <c r="H25" s="46">
        <f>VLOOKUP(A25,'[17]Key Ratios'!$A$2:$M$32,9,)</f>
        <v>0</v>
      </c>
      <c r="I25" s="46">
        <f>VLOOKUP(A25,'[17]Key Ratios'!$A$2:$M$32,8,)</f>
        <v>0</v>
      </c>
      <c r="J25" s="46">
        <f>VLOOKUP(A25,'[17]Key Ratios'!$A$2:$M$32,7,)</f>
        <v>1.4658642567711664E-2</v>
      </c>
      <c r="K25" s="46">
        <v>0</v>
      </c>
      <c r="L25" s="46">
        <f>VLOOKUP(A25,'[17]Key Ratios'!$A$2:$M$32,13,)</f>
        <v>3.2653061224489799E-2</v>
      </c>
      <c r="M25" s="7">
        <f t="shared" si="3"/>
        <v>404.82741545793772</v>
      </c>
      <c r="N25" s="7">
        <f t="shared" si="4"/>
        <v>334996.24400466972</v>
      </c>
      <c r="O25" s="7">
        <f t="shared" si="5"/>
        <v>30089.869431422936</v>
      </c>
      <c r="P25" s="7">
        <f t="shared" si="6"/>
        <v>0</v>
      </c>
      <c r="Q25" s="7">
        <f t="shared" si="7"/>
        <v>22621.238723558316</v>
      </c>
      <c r="R25" s="7">
        <f t="shared" si="8"/>
        <v>0</v>
      </c>
      <c r="S25" s="7">
        <f t="shared" si="9"/>
        <v>0</v>
      </c>
      <c r="T25" s="7">
        <f t="shared" si="10"/>
        <v>69519.106393221417</v>
      </c>
      <c r="U25" s="7">
        <f t="shared" si="11"/>
        <v>0</v>
      </c>
      <c r="V25" s="7">
        <v>16760.293273542597</v>
      </c>
      <c r="W25" s="7">
        <f t="shared" si="12"/>
        <v>57606.325271183137</v>
      </c>
      <c r="X25" s="7">
        <f t="shared" si="13"/>
        <v>51934.118049124256</v>
      </c>
      <c r="Y25" s="7">
        <f t="shared" si="14"/>
        <v>6319.2447109248706</v>
      </c>
      <c r="Z25" s="7">
        <f t="shared" si="15"/>
        <v>35227.050195455886</v>
      </c>
      <c r="AA25" s="7">
        <f t="shared" si="16"/>
        <v>0</v>
      </c>
      <c r="AB25" s="7">
        <f t="shared" si="0"/>
        <v>625073.49005310319</v>
      </c>
      <c r="AC25" s="7">
        <f t="shared" si="1"/>
        <v>48979.157009841932</v>
      </c>
      <c r="AD25" s="7">
        <f t="shared" si="17"/>
        <v>349538.18775510206</v>
      </c>
      <c r="AE25" s="7">
        <f t="shared" si="18"/>
        <v>0</v>
      </c>
      <c r="AF25" s="7"/>
      <c r="AG25" s="7">
        <f t="shared" si="2"/>
        <v>398517.34476494399</v>
      </c>
    </row>
    <row r="26" spans="1:33" x14ac:dyDescent="0.2">
      <c r="A26" s="15" t="s">
        <v>24</v>
      </c>
      <c r="B26" s="1" t="s">
        <v>7</v>
      </c>
      <c r="C26" s="46">
        <f>VLOOKUP(A26,'[17]Key Ratios'!$A$2:$M$32,12,)</f>
        <v>1.1529990931467808E-2</v>
      </c>
      <c r="D26" s="46">
        <f>VLOOKUP(A26,'[17]Key Ratios'!$A$2:$D$32,4,)</f>
        <v>2.5677884389257319E-2</v>
      </c>
      <c r="E26" s="46">
        <f>VLOOKUP(A26,'[17]Key Ratios'!$A$2:$M$32,5,)</f>
        <v>3.1724007671296565E-2</v>
      </c>
      <c r="F26" s="46">
        <f>VLOOKUP(A26,'[17]Key Ratios'!$A$2:$M$32,11,)</f>
        <v>0</v>
      </c>
      <c r="G26" s="46">
        <f>VLOOKUP(A26,'[17]Key Ratios'!$A$2:$M$32,10,)</f>
        <v>6.9983014998077159E-2</v>
      </c>
      <c r="H26" s="46">
        <f>VLOOKUP(A26,'[17]Key Ratios'!$A$2:$M$32,9,)</f>
        <v>0</v>
      </c>
      <c r="I26" s="46">
        <f>VLOOKUP(A26,'[17]Key Ratios'!$A$2:$M$32,8,)</f>
        <v>0</v>
      </c>
      <c r="J26" s="46">
        <f>VLOOKUP(A26,'[17]Key Ratios'!$A$2:$M$32,7,)</f>
        <v>2.9107352313926214E-2</v>
      </c>
      <c r="K26" s="46">
        <v>0</v>
      </c>
      <c r="L26" s="46">
        <f>VLOOKUP(A26,'[17]Key Ratios'!$A$2:$M$32,13,)</f>
        <v>3.2653061224489799E-2</v>
      </c>
      <c r="M26" s="7">
        <f t="shared" si="3"/>
        <v>223.3242147257632</v>
      </c>
      <c r="N26" s="7">
        <f t="shared" si="4"/>
        <v>665194.86050938629</v>
      </c>
      <c r="O26" s="7">
        <f t="shared" si="5"/>
        <v>59755.552436118232</v>
      </c>
      <c r="P26" s="7">
        <f t="shared" si="6"/>
        <v>0</v>
      </c>
      <c r="Q26" s="7">
        <f t="shared" si="7"/>
        <v>44918.50880888426</v>
      </c>
      <c r="R26" s="7">
        <f t="shared" si="8"/>
        <v>0</v>
      </c>
      <c r="S26" s="7">
        <f t="shared" si="9"/>
        <v>0</v>
      </c>
      <c r="T26" s="7">
        <f t="shared" si="10"/>
        <v>138042.59930547609</v>
      </c>
      <c r="U26" s="7">
        <f t="shared" si="11"/>
        <v>0</v>
      </c>
      <c r="V26" s="7">
        <v>18627.157623318381</v>
      </c>
      <c r="W26" s="7">
        <f t="shared" si="12"/>
        <v>114387.64520204243</v>
      </c>
      <c r="X26" s="7">
        <f t="shared" si="13"/>
        <v>103124.46491454885</v>
      </c>
      <c r="Y26" s="7">
        <f t="shared" si="14"/>
        <v>12547.988758792622</v>
      </c>
      <c r="Z26" s="7">
        <f t="shared" si="15"/>
        <v>35227.050195455886</v>
      </c>
      <c r="AA26" s="7">
        <f t="shared" si="16"/>
        <v>0</v>
      </c>
      <c r="AB26" s="7">
        <f t="shared" si="0"/>
        <v>1191825.827754023</v>
      </c>
      <c r="AC26" s="7">
        <f t="shared" si="1"/>
        <v>97256.862123430168</v>
      </c>
      <c r="AD26" s="7">
        <f t="shared" si="17"/>
        <v>349538.18775510206</v>
      </c>
      <c r="AE26" s="7">
        <f t="shared" si="18"/>
        <v>0</v>
      </c>
      <c r="AF26" s="7"/>
      <c r="AG26" s="7">
        <f t="shared" si="2"/>
        <v>446795.04987853224</v>
      </c>
    </row>
    <row r="27" spans="1:33" x14ac:dyDescent="0.2">
      <c r="A27" s="15" t="s">
        <v>25</v>
      </c>
      <c r="B27" s="1" t="s">
        <v>7</v>
      </c>
      <c r="C27" s="46">
        <f>VLOOKUP(A27,'[17]Key Ratios'!$A$2:$M$32,12,)</f>
        <v>3.9307768709245572E-2</v>
      </c>
      <c r="D27" s="46">
        <f>VLOOKUP(A27,'[17]Key Ratios'!$A$2:$D$32,4,)</f>
        <v>7.6145877428154846E-2</v>
      </c>
      <c r="E27" s="46">
        <f>VLOOKUP(A27,'[17]Key Ratios'!$A$2:$M$32,5,)</f>
        <v>9.4082350206311394E-2</v>
      </c>
      <c r="F27" s="46">
        <f>VLOOKUP(A27,'[17]Key Ratios'!$A$2:$M$32,11,)</f>
        <v>0</v>
      </c>
      <c r="G27" s="46">
        <f>VLOOKUP(A27,'[17]Key Ratios'!$A$2:$M$32,10,)</f>
        <v>0.20752948339956415</v>
      </c>
      <c r="H27" s="46">
        <f>VLOOKUP(A27,'[17]Key Ratios'!$A$2:$M$32,9,)</f>
        <v>0</v>
      </c>
      <c r="I27" s="46">
        <f>VLOOKUP(A27,'[17]Key Ratios'!$A$2:$M$32,8,)</f>
        <v>0</v>
      </c>
      <c r="J27" s="46">
        <f>VLOOKUP(A27,'[17]Key Ratios'!$A$2:$M$32,7,)</f>
        <v>8.63157123053956E-2</v>
      </c>
      <c r="K27" s="46">
        <v>0</v>
      </c>
      <c r="L27" s="46">
        <f>VLOOKUP(A27,'[17]Key Ratios'!$A$2:$M$32,13,)</f>
        <v>3.2653061224489799E-2</v>
      </c>
      <c r="M27" s="7">
        <f t="shared" si="3"/>
        <v>761.35155975328041</v>
      </c>
      <c r="N27" s="7">
        <f t="shared" si="4"/>
        <v>1972586.4306553679</v>
      </c>
      <c r="O27" s="7">
        <f t="shared" si="5"/>
        <v>177214.14234031769</v>
      </c>
      <c r="P27" s="7">
        <f t="shared" si="6"/>
        <v>0</v>
      </c>
      <c r="Q27" s="7">
        <f t="shared" si="7"/>
        <v>133202.53390687224</v>
      </c>
      <c r="R27" s="7">
        <f t="shared" si="8"/>
        <v>0</v>
      </c>
      <c r="S27" s="7">
        <f t="shared" si="9"/>
        <v>0</v>
      </c>
      <c r="T27" s="7">
        <f t="shared" si="10"/>
        <v>409355.17456322222</v>
      </c>
      <c r="U27" s="7">
        <f t="shared" si="11"/>
        <v>0</v>
      </c>
      <c r="V27" s="7">
        <v>41071.015695067254</v>
      </c>
      <c r="W27" s="7">
        <f t="shared" si="12"/>
        <v>339208.14810171793</v>
      </c>
      <c r="X27" s="7">
        <f t="shared" si="13"/>
        <v>305808.01541861019</v>
      </c>
      <c r="Y27" s="7">
        <f t="shared" si="14"/>
        <v>37210.137701088199</v>
      </c>
      <c r="Z27" s="7">
        <f t="shared" si="15"/>
        <v>35227.050195455886</v>
      </c>
      <c r="AA27" s="7">
        <f t="shared" si="16"/>
        <v>0</v>
      </c>
      <c r="AB27" s="7">
        <f t="shared" si="0"/>
        <v>3450882.6485777195</v>
      </c>
      <c r="AC27" s="7">
        <f t="shared" si="1"/>
        <v>288408.07093110617</v>
      </c>
      <c r="AD27" s="7">
        <f t="shared" si="17"/>
        <v>349538.18775510206</v>
      </c>
      <c r="AE27" s="7">
        <f t="shared" si="18"/>
        <v>0</v>
      </c>
      <c r="AF27" s="7"/>
      <c r="AG27" s="7">
        <f t="shared" si="2"/>
        <v>637946.25868620817</v>
      </c>
    </row>
    <row r="28" spans="1:33" x14ac:dyDescent="0.2">
      <c r="A28" s="15" t="s">
        <v>26</v>
      </c>
      <c r="B28" s="1" t="s">
        <v>7</v>
      </c>
      <c r="C28" s="46">
        <f>VLOOKUP(A28,'[17]Key Ratios'!$A$2:$M$32,12,)</f>
        <v>2.1235479552619077E-2</v>
      </c>
      <c r="D28" s="46">
        <f>VLOOKUP(A28,'[17]Key Ratios'!$A$2:$D$32,4,)</f>
        <v>3.1954047316683125E-3</v>
      </c>
      <c r="E28" s="46">
        <f>VLOOKUP(A28,'[17]Key Ratios'!$A$2:$M$32,5,)</f>
        <v>3.9446155634334859E-3</v>
      </c>
      <c r="F28" s="46">
        <f>VLOOKUP(A28,'[17]Key Ratios'!$A$2:$M$32,11,)</f>
        <v>0</v>
      </c>
      <c r="G28" s="46">
        <f>VLOOKUP(A28,'[17]Key Ratios'!$A$2:$M$32,10,)</f>
        <v>8.708819382130497E-3</v>
      </c>
      <c r="H28" s="46">
        <f>VLOOKUP(A28,'[17]Key Ratios'!$A$2:$M$32,9,)</f>
        <v>0</v>
      </c>
      <c r="I28" s="46">
        <f>VLOOKUP(A28,'[17]Key Ratios'!$A$2:$M$32,8,)</f>
        <v>0</v>
      </c>
      <c r="J28" s="46">
        <f>VLOOKUP(A28,'[17]Key Ratios'!$A$2:$M$32,7,)</f>
        <v>3.6221742375773082E-3</v>
      </c>
      <c r="K28" s="46">
        <v>0</v>
      </c>
      <c r="L28" s="46">
        <f>VLOOKUP(A28,'[17]Key Ratios'!$A$2:$M$32,13,)</f>
        <v>3.2653061224489799E-2</v>
      </c>
      <c r="M28" s="7">
        <f t="shared" si="3"/>
        <v>411.30967262694395</v>
      </c>
      <c r="N28" s="7">
        <f t="shared" si="4"/>
        <v>82778.112578557862</v>
      </c>
      <c r="O28" s="7">
        <f t="shared" si="5"/>
        <v>7430.1041842940685</v>
      </c>
      <c r="P28" s="7">
        <f t="shared" si="6"/>
        <v>0</v>
      </c>
      <c r="Q28" s="7">
        <f t="shared" si="7"/>
        <v>5589.7445993425536</v>
      </c>
      <c r="R28" s="7">
        <f t="shared" si="8"/>
        <v>0</v>
      </c>
      <c r="S28" s="7">
        <f t="shared" si="9"/>
        <v>0</v>
      </c>
      <c r="T28" s="7">
        <f t="shared" si="10"/>
        <v>17178.283393823978</v>
      </c>
      <c r="U28" s="7">
        <f t="shared" si="11"/>
        <v>0</v>
      </c>
      <c r="V28" s="7">
        <v>45841.891255605369</v>
      </c>
      <c r="W28" s="7">
        <f t="shared" si="12"/>
        <v>14234.615951301677</v>
      </c>
      <c r="X28" s="7">
        <f t="shared" si="13"/>
        <v>12833.004391770419</v>
      </c>
      <c r="Y28" s="7">
        <f t="shared" si="14"/>
        <v>1561.4955673506104</v>
      </c>
      <c r="Z28" s="7">
        <f t="shared" si="15"/>
        <v>35227.050195455886</v>
      </c>
      <c r="AA28" s="7">
        <f t="shared" si="16"/>
        <v>0</v>
      </c>
      <c r="AB28" s="7">
        <f t="shared" si="0"/>
        <v>222674.30211750243</v>
      </c>
      <c r="AC28" s="7">
        <f t="shared" si="1"/>
        <v>12102.828749647235</v>
      </c>
      <c r="AD28" s="7">
        <f t="shared" si="17"/>
        <v>349538.18775510206</v>
      </c>
      <c r="AE28" s="7">
        <f t="shared" si="18"/>
        <v>0</v>
      </c>
      <c r="AF28" s="7"/>
      <c r="AG28" s="7">
        <f t="shared" si="2"/>
        <v>361641.01650474931</v>
      </c>
    </row>
    <row r="29" spans="1:33" x14ac:dyDescent="0.2">
      <c r="A29" s="15" t="s">
        <v>27</v>
      </c>
      <c r="B29" s="1" t="s">
        <v>7</v>
      </c>
      <c r="C29" s="46">
        <f>VLOOKUP(A29,'[17]Key Ratios'!$A$2:$M$32,12,)</f>
        <v>1.2534006995724838E-2</v>
      </c>
      <c r="D29" s="46">
        <f>VLOOKUP(A29,'[17]Key Ratios'!$A$2:$D$32,4,)</f>
        <v>1.8246437138422458E-2</v>
      </c>
      <c r="E29" s="46">
        <f>VLOOKUP(A29,'[17]Key Ratios'!$A$2:$M$32,5,)</f>
        <v>2.2541698146103326E-2</v>
      </c>
      <c r="F29" s="46">
        <f>VLOOKUP(A29,'[17]Key Ratios'!$A$2:$M$32,11,)</f>
        <v>0</v>
      </c>
      <c r="G29" s="46">
        <f>VLOOKUP(A29,'[17]Key Ratios'!$A$2:$M$32,10,)</f>
        <v>4.9729201384437885E-2</v>
      </c>
      <c r="H29" s="46">
        <f>VLOOKUP(A29,'[17]Key Ratios'!$A$2:$M$32,9,)</f>
        <v>0</v>
      </c>
      <c r="I29" s="46">
        <f>VLOOKUP(A29,'[17]Key Ratios'!$A$2:$M$32,8,)</f>
        <v>0</v>
      </c>
      <c r="J29" s="46">
        <f>VLOOKUP(A29,'[17]Key Ratios'!$A$2:$M$32,7,)</f>
        <v>2.0683381317978245E-2</v>
      </c>
      <c r="K29" s="46">
        <v>0</v>
      </c>
      <c r="L29" s="46">
        <f>VLOOKUP(A29,'[17]Key Ratios'!$A$2:$M$32,13,)</f>
        <v>3.2653061224489799E-2</v>
      </c>
      <c r="M29" s="7">
        <f t="shared" si="3"/>
        <v>242.77098623278195</v>
      </c>
      <c r="N29" s="7">
        <f t="shared" si="4"/>
        <v>472680.53797158104</v>
      </c>
      <c r="O29" s="7">
        <f t="shared" si="5"/>
        <v>42459.69297212614</v>
      </c>
      <c r="P29" s="7">
        <f t="shared" si="6"/>
        <v>0</v>
      </c>
      <c r="Q29" s="7">
        <f t="shared" si="7"/>
        <v>31918.624404893486</v>
      </c>
      <c r="R29" s="7">
        <f t="shared" si="8"/>
        <v>0</v>
      </c>
      <c r="S29" s="7">
        <f t="shared" si="9"/>
        <v>0</v>
      </c>
      <c r="T29" s="7">
        <f t="shared" si="10"/>
        <v>98091.632958109883</v>
      </c>
      <c r="U29" s="7">
        <f t="shared" si="11"/>
        <v>0</v>
      </c>
      <c r="V29" s="7">
        <v>17963.383632286994</v>
      </c>
      <c r="W29" s="7">
        <f t="shared" si="12"/>
        <v>81282.669006190888</v>
      </c>
      <c r="X29" s="7">
        <f t="shared" si="13"/>
        <v>73279.17043212417</v>
      </c>
      <c r="Y29" s="7">
        <f t="shared" si="14"/>
        <v>8916.4700888180651</v>
      </c>
      <c r="Z29" s="7">
        <f t="shared" si="15"/>
        <v>35227.050195455886</v>
      </c>
      <c r="AA29" s="7">
        <f t="shared" si="16"/>
        <v>0</v>
      </c>
      <c r="AB29" s="7">
        <f t="shared" si="0"/>
        <v>861819.23166158656</v>
      </c>
      <c r="AC29" s="7">
        <f t="shared" si="1"/>
        <v>69109.713016614885</v>
      </c>
      <c r="AD29" s="7">
        <f t="shared" si="17"/>
        <v>349538.18775510206</v>
      </c>
      <c r="AE29" s="7">
        <f t="shared" si="18"/>
        <v>0</v>
      </c>
      <c r="AF29" s="7"/>
      <c r="AG29" s="7">
        <f t="shared" si="2"/>
        <v>418647.90077171696</v>
      </c>
    </row>
    <row r="30" spans="1:33" x14ac:dyDescent="0.2">
      <c r="A30" s="15" t="s">
        <v>28</v>
      </c>
      <c r="B30" s="1" t="s">
        <v>13</v>
      </c>
      <c r="C30" s="46">
        <f>VLOOKUP(A30,'[17]Key Ratios'!$A$2:$M$32,12,)</f>
        <v>1.7219415295590967E-2</v>
      </c>
      <c r="D30" s="46">
        <f>VLOOKUP(A30,'[17]Key Ratios'!$A$2:$D$32,4,)</f>
        <v>8.3721367762569967E-3</v>
      </c>
      <c r="E30" s="46">
        <f>VLOOKUP(A30,'[17]Key Ratios'!$A$2:$M$32,5,)</f>
        <v>1.0344627186610099E-2</v>
      </c>
      <c r="F30" s="46">
        <f>VLOOKUP(A30,'[17]Key Ratios'!$A$2:$M$32,11,)</f>
        <v>0</v>
      </c>
      <c r="G30" s="46">
        <f>VLOOKUP(A30,'[17]Key Ratios'!$A$2:$M$32,10,)</f>
        <v>0</v>
      </c>
      <c r="H30" s="46">
        <f>VLOOKUP(A30,'[17]Key Ratios'!$A$2:$M$32,9,)</f>
        <v>0</v>
      </c>
      <c r="I30" s="46">
        <f>VLOOKUP(A30,'[17]Key Ratios'!$A$2:$M$32,8,)</f>
        <v>2.590598166205792E-2</v>
      </c>
      <c r="J30" s="46">
        <f>VLOOKUP(A30,'[17]Key Ratios'!$A$2:$M$32,7,)</f>
        <v>9.4902964384730223E-3</v>
      </c>
      <c r="K30" s="46">
        <v>0</v>
      </c>
      <c r="L30" s="46">
        <f>VLOOKUP(A30,'[17]Key Ratios'!$A$2:$M$32,13,)</f>
        <v>5.4875283446712018E-2</v>
      </c>
      <c r="M30" s="7">
        <f t="shared" si="3"/>
        <v>333.52258659886917</v>
      </c>
      <c r="N30" s="7">
        <f t="shared" si="4"/>
        <v>216883.22412486922</v>
      </c>
      <c r="O30" s="7">
        <f t="shared" si="5"/>
        <v>19485.208763231589</v>
      </c>
      <c r="P30" s="7">
        <f t="shared" si="6"/>
        <v>0</v>
      </c>
      <c r="Q30" s="7">
        <f t="shared" si="7"/>
        <v>0</v>
      </c>
      <c r="R30" s="7">
        <f t="shared" si="8"/>
        <v>0</v>
      </c>
      <c r="S30" s="7">
        <f t="shared" si="9"/>
        <v>18488.234029549018</v>
      </c>
      <c r="T30" s="7">
        <f t="shared" si="10"/>
        <v>45008.050695134036</v>
      </c>
      <c r="U30" s="7">
        <f t="shared" si="11"/>
        <v>0</v>
      </c>
      <c r="V30" s="7">
        <v>10744.841479820627</v>
      </c>
      <c r="W30" s="7">
        <f t="shared" si="12"/>
        <v>37295.479511782134</v>
      </c>
      <c r="X30" s="7">
        <f t="shared" si="13"/>
        <v>33623.179859946787</v>
      </c>
      <c r="Y30" s="7">
        <f t="shared" si="14"/>
        <v>4091.2045775662732</v>
      </c>
      <c r="Z30" s="7">
        <f t="shared" si="15"/>
        <v>59201.014911807812</v>
      </c>
      <c r="AA30" s="7">
        <f t="shared" si="16"/>
        <v>7902.8102281791807</v>
      </c>
      <c r="AB30" s="7">
        <f t="shared" si="0"/>
        <v>452723.24818188674</v>
      </c>
      <c r="AC30" s="7">
        <f t="shared" si="1"/>
        <v>31710.079373500765</v>
      </c>
      <c r="AD30" s="7">
        <f t="shared" si="17"/>
        <v>587418.34331065766</v>
      </c>
      <c r="AE30" s="7">
        <f t="shared" si="18"/>
        <v>10072.762494542279</v>
      </c>
      <c r="AF30" s="7"/>
      <c r="AG30" s="7">
        <f t="shared" si="2"/>
        <v>629201.18517870072</v>
      </c>
    </row>
    <row r="31" spans="1:33" x14ac:dyDescent="0.2">
      <c r="A31" s="16" t="s">
        <v>39</v>
      </c>
      <c r="B31" s="3" t="s">
        <v>7</v>
      </c>
      <c r="C31" s="46">
        <f>VLOOKUP(A31,'[17]Key Ratios'!$A$2:$M$32,12,)</f>
        <v>4.5018784816686095E-3</v>
      </c>
      <c r="D31" s="46">
        <f>VLOOKUP(A31,'[17]Key Ratios'!$A$2:$D$32,4,)</f>
        <v>4.5123700672593005E-3</v>
      </c>
      <c r="E31" s="46">
        <f>VLOOKUP(A31,'[17]Key Ratios'!$A$2:$M$32,5,)</f>
        <v>3.0728773173708374E-3</v>
      </c>
      <c r="F31" s="46">
        <f>VLOOKUP(A31,'[17]Key Ratios'!$A$2:$M$32,11,)</f>
        <v>2.7759845061329891E-2</v>
      </c>
      <c r="G31" s="46">
        <f>VLOOKUP(A31,'[17]Key Ratios'!$A$2:$M$32,10,)</f>
        <v>1.2298102807332394E-2</v>
      </c>
      <c r="H31" s="46">
        <f>VLOOKUP(A31,'[17]Key Ratios'!$A$2:$M$32,9,)</f>
        <v>0</v>
      </c>
      <c r="I31" s="46">
        <f>VLOOKUP(A31,'[17]Key Ratios'!$A$2:$M$32,8,)</f>
        <v>0</v>
      </c>
      <c r="J31" s="46">
        <f>VLOOKUP(A31,'[17]Key Ratios'!$A$2:$M$32,7,)</f>
        <v>2.2925997014288761E-3</v>
      </c>
      <c r="K31" s="46">
        <v>0</v>
      </c>
      <c r="L31" s="46">
        <f>VLOOKUP(A31,'[17]Key Ratios'!$A$2:$M$32,13,)</f>
        <v>3.2653061224489799E-2</v>
      </c>
      <c r="M31" s="7">
        <f t="shared" si="3"/>
        <v>87.196814176632245</v>
      </c>
      <c r="N31" s="7">
        <f t="shared" si="4"/>
        <v>116894.5748004474</v>
      </c>
      <c r="O31" s="7">
        <f t="shared" si="5"/>
        <v>5788.0922098644405</v>
      </c>
      <c r="P31" s="7">
        <f t="shared" si="6"/>
        <v>5170.6806003873471</v>
      </c>
      <c r="Q31" s="7">
        <f t="shared" si="7"/>
        <v>7893.5215823282597</v>
      </c>
      <c r="R31" s="7">
        <f t="shared" si="8"/>
        <v>0</v>
      </c>
      <c r="S31" s="7">
        <f t="shared" si="9"/>
        <v>0</v>
      </c>
      <c r="T31" s="7">
        <f t="shared" si="10"/>
        <v>10872.731347700919</v>
      </c>
      <c r="U31" s="7">
        <f t="shared" si="11"/>
        <v>0</v>
      </c>
      <c r="V31" s="7">
        <v>3526.2993273542593</v>
      </c>
      <c r="W31" s="7">
        <f t="shared" si="12"/>
        <v>20101.320593604483</v>
      </c>
      <c r="X31" s="7">
        <f t="shared" si="13"/>
        <v>18122.043920301374</v>
      </c>
      <c r="Y31" s="7">
        <f t="shared" si="14"/>
        <v>2205.0558379790127</v>
      </c>
      <c r="Z31" s="7">
        <f t="shared" si="15"/>
        <v>35227.050195455886</v>
      </c>
      <c r="AA31" s="7">
        <f t="shared" si="16"/>
        <v>0</v>
      </c>
      <c r="AB31" s="7">
        <f t="shared" si="0"/>
        <v>225801.37041542341</v>
      </c>
      <c r="AC31" s="7">
        <f t="shared" si="1"/>
        <v>17090.931123006907</v>
      </c>
      <c r="AD31" s="7">
        <f t="shared" si="17"/>
        <v>349538.18775510206</v>
      </c>
      <c r="AE31" s="7">
        <f t="shared" si="18"/>
        <v>0</v>
      </c>
      <c r="AF31" s="7"/>
      <c r="AG31" s="7">
        <f t="shared" si="2"/>
        <v>366629.11887810897</v>
      </c>
    </row>
    <row r="32" spans="1:33" x14ac:dyDescent="0.2">
      <c r="A32" s="16" t="s">
        <v>34</v>
      </c>
      <c r="B32" s="1" t="s">
        <v>13</v>
      </c>
      <c r="C32" s="46">
        <f>VLOOKUP(A32,'[17]Key Ratios'!$A$2:$M$32,12,)</f>
        <v>2.0566135509781057E-2</v>
      </c>
      <c r="D32" s="46">
        <f>VLOOKUP(A32,'[17]Key Ratios'!$A$2:$D$32,4,)</f>
        <v>2.695075490334415E-2</v>
      </c>
      <c r="E32" s="46">
        <f>VLOOKUP(A32,'[17]Key Ratios'!$A$2:$M$32,5,)</f>
        <v>3.3300400999593187E-2</v>
      </c>
      <c r="F32" s="46">
        <f>VLOOKUP(A32,'[17]Key Ratios'!$A$2:$M$32,11,)</f>
        <v>0</v>
      </c>
      <c r="G32" s="46">
        <f>VLOOKUP(A32,'[17]Key Ratios'!$A$2:$M$32,10,)</f>
        <v>0</v>
      </c>
      <c r="H32" s="46">
        <f>VLOOKUP(A32,'[17]Key Ratios'!$A$2:$M$32,9,)</f>
        <v>0</v>
      </c>
      <c r="I32" s="46">
        <f>VLOOKUP(A32,'[17]Key Ratios'!$A$2:$M$32,8,)</f>
        <v>8.3393974676175223E-2</v>
      </c>
      <c r="J32" s="46">
        <f>VLOOKUP(A32,'[17]Key Ratios'!$A$2:$M$32,7,)</f>
        <v>3.0550223928342932E-2</v>
      </c>
      <c r="K32" s="46">
        <v>0</v>
      </c>
      <c r="L32" s="46">
        <f>VLOOKUP(A32,'[17]Key Ratios'!$A$2:$M$32,13,)</f>
        <v>5.4875283446712018E-2</v>
      </c>
      <c r="M32" s="7">
        <f t="shared" si="3"/>
        <v>398.34515828893149</v>
      </c>
      <c r="N32" s="7">
        <f t="shared" si="4"/>
        <v>698169.0304693823</v>
      </c>
      <c r="O32" s="7">
        <f t="shared" si="5"/>
        <v>62724.857423211812</v>
      </c>
      <c r="P32" s="7">
        <f t="shared" si="6"/>
        <v>0</v>
      </c>
      <c r="Q32" s="7">
        <f t="shared" si="7"/>
        <v>0</v>
      </c>
      <c r="R32" s="7">
        <f t="shared" si="8"/>
        <v>0</v>
      </c>
      <c r="S32" s="7">
        <f t="shared" si="9"/>
        <v>59515.494937817908</v>
      </c>
      <c r="T32" s="7">
        <f t="shared" si="10"/>
        <v>144885.46656354947</v>
      </c>
      <c r="U32" s="7">
        <f t="shared" si="11"/>
        <v>0</v>
      </c>
      <c r="V32" s="7">
        <v>18959.044618834076</v>
      </c>
      <c r="W32" s="7">
        <f t="shared" si="12"/>
        <v>120057.92000141102</v>
      </c>
      <c r="X32" s="7">
        <f t="shared" si="13"/>
        <v>108236.41606600847</v>
      </c>
      <c r="Y32" s="7">
        <f t="shared" si="14"/>
        <v>13170.001252502665</v>
      </c>
      <c r="Z32" s="7">
        <f t="shared" si="15"/>
        <v>59201.014911807812</v>
      </c>
      <c r="AA32" s="7">
        <f t="shared" si="16"/>
        <v>25439.945285093658</v>
      </c>
      <c r="AB32" s="7">
        <f t="shared" si="0"/>
        <v>1310359.1915296193</v>
      </c>
      <c r="AC32" s="7">
        <f t="shared" si="1"/>
        <v>102077.95214053897</v>
      </c>
      <c r="AD32" s="7">
        <f t="shared" si="17"/>
        <v>587418.34331065766</v>
      </c>
      <c r="AE32" s="7">
        <f t="shared" si="18"/>
        <v>32425.241063891721</v>
      </c>
      <c r="AF32" s="7"/>
      <c r="AG32" s="7">
        <f t="shared" si="2"/>
        <v>721921.53651508829</v>
      </c>
    </row>
    <row r="33" spans="1:33" x14ac:dyDescent="0.2">
      <c r="A33" s="16" t="s">
        <v>346</v>
      </c>
      <c r="B33" s="1"/>
      <c r="C33" s="6">
        <v>0</v>
      </c>
      <c r="D33" s="46">
        <f>1.187%+Departments!E38</f>
        <v>1.1871506984619648E-2</v>
      </c>
      <c r="E33" s="46">
        <v>1.47E-2</v>
      </c>
      <c r="F33" s="46">
        <v>0</v>
      </c>
      <c r="G33" s="46">
        <v>0</v>
      </c>
      <c r="H33" s="46">
        <v>0</v>
      </c>
      <c r="I33" s="46">
        <v>3.6700000000000003E-2</v>
      </c>
      <c r="J33" s="46">
        <f>1.35%+J36</f>
        <v>1.3522430155683485E-2</v>
      </c>
      <c r="K33" s="46">
        <v>0</v>
      </c>
      <c r="L33" s="46">
        <v>8.8000000000000005E-3</v>
      </c>
      <c r="M33" s="7">
        <v>0</v>
      </c>
      <c r="N33" s="7">
        <f t="shared" si="4"/>
        <v>307535.67205770384</v>
      </c>
      <c r="O33" s="7">
        <f t="shared" si="5"/>
        <v>27689.018043130407</v>
      </c>
      <c r="P33" s="7">
        <v>0</v>
      </c>
      <c r="Q33" s="7">
        <v>0</v>
      </c>
      <c r="R33" s="7">
        <v>0</v>
      </c>
      <c r="S33" s="7">
        <f t="shared" si="9"/>
        <v>26191.564470927246</v>
      </c>
      <c r="T33" s="7">
        <f t="shared" si="10"/>
        <v>64130.580737300719</v>
      </c>
      <c r="U33" s="7">
        <f t="shared" si="11"/>
        <v>0</v>
      </c>
      <c r="V33" s="7">
        <v>0</v>
      </c>
      <c r="W33" s="7">
        <f t="shared" si="12"/>
        <v>52884.174894811775</v>
      </c>
      <c r="X33" s="7">
        <f t="shared" si="13"/>
        <v>47676.934242698306</v>
      </c>
      <c r="Y33" s="7">
        <f t="shared" si="14"/>
        <v>5801.2386820799102</v>
      </c>
      <c r="Z33" s="7">
        <f t="shared" si="15"/>
        <v>9493.6900276753622</v>
      </c>
      <c r="AA33" s="7">
        <f t="shared" si="16"/>
        <v>11195.604905370581</v>
      </c>
      <c r="AB33" s="7">
        <f t="shared" si="0"/>
        <v>552598.47806169826</v>
      </c>
      <c r="AC33" s="7">
        <f t="shared" si="1"/>
        <v>44964.199561686917</v>
      </c>
      <c r="AD33" s="7">
        <f t="shared" si="17"/>
        <v>94200.541600000011</v>
      </c>
      <c r="AE33" s="7">
        <f t="shared" si="18"/>
        <v>14269.692165000004</v>
      </c>
      <c r="AF33" s="7"/>
      <c r="AG33" s="7">
        <f t="shared" si="2"/>
        <v>153434.43332668694</v>
      </c>
    </row>
    <row r="34" spans="1:33" x14ac:dyDescent="0.2">
      <c r="A34" s="17" t="s">
        <v>48</v>
      </c>
      <c r="C34" s="5">
        <f>SUM(C2:C33)</f>
        <v>1.0000000000000002</v>
      </c>
      <c r="D34" s="5">
        <f t="shared" ref="D34:K34" si="19">SUM(D2:D33)</f>
        <v>1</v>
      </c>
      <c r="E34" s="5">
        <f t="shared" si="19"/>
        <v>0.98533575870285361</v>
      </c>
      <c r="F34" s="5">
        <f t="shared" si="19"/>
        <v>1</v>
      </c>
      <c r="G34" s="5">
        <f t="shared" si="19"/>
        <v>0.99999999999999989</v>
      </c>
      <c r="H34" s="5">
        <f t="shared" si="19"/>
        <v>1</v>
      </c>
      <c r="I34" s="5">
        <f t="shared" si="19"/>
        <v>0.96327643719982559</v>
      </c>
      <c r="J34" s="5">
        <f t="shared" si="19"/>
        <v>0.98654683301343571</v>
      </c>
      <c r="K34" s="5">
        <f t="shared" si="19"/>
        <v>1</v>
      </c>
      <c r="L34" s="5">
        <f t="shared" ref="L34:X34" si="20">SUM(L2:L33)</f>
        <v>0.99124190476190455</v>
      </c>
      <c r="M34" s="7">
        <f t="shared" si="20"/>
        <v>19368.98442099063</v>
      </c>
      <c r="N34" s="7">
        <f t="shared" si="20"/>
        <v>25905360.832128339</v>
      </c>
      <c r="O34" s="7">
        <f t="shared" si="20"/>
        <v>1855985.0068887684</v>
      </c>
      <c r="P34" s="7">
        <f t="shared" si="20"/>
        <v>186264.74999999997</v>
      </c>
      <c r="Q34" s="7">
        <f t="shared" si="20"/>
        <v>641848.72300969646</v>
      </c>
      <c r="R34" s="7">
        <f t="shared" si="20"/>
        <v>560519.49488356302</v>
      </c>
      <c r="S34" s="7">
        <f t="shared" si="20"/>
        <v>687458.22638267931</v>
      </c>
      <c r="T34" s="7">
        <f t="shared" si="20"/>
        <v>4678731.6035132166</v>
      </c>
      <c r="U34" s="7">
        <f t="shared" si="20"/>
        <v>3100858.1606013379</v>
      </c>
      <c r="V34" s="7">
        <f t="shared" si="20"/>
        <v>943637.7</v>
      </c>
      <c r="W34" s="7">
        <f t="shared" si="20"/>
        <v>4454714.55</v>
      </c>
      <c r="X34" s="7">
        <f t="shared" si="20"/>
        <v>4016081.0505748796</v>
      </c>
      <c r="Y34" s="7">
        <v>488669.10406537377</v>
      </c>
      <c r="Z34" s="8">
        <v>1078828.4122358365</v>
      </c>
      <c r="AA34" s="8">
        <v>305057.35436977056</v>
      </c>
      <c r="AB34" s="7">
        <f>SUM(AB2:AB33)</f>
        <v>48883363.693762675</v>
      </c>
      <c r="AC34" s="7">
        <f>SUM(AC2:AC33)</f>
        <v>3787573.0199999982</v>
      </c>
      <c r="AD34" s="7">
        <f>10704607</f>
        <v>10704607</v>
      </c>
      <c r="AE34" s="8">
        <v>388819.95000000007</v>
      </c>
      <c r="AF34" s="8"/>
      <c r="AG34" s="7">
        <f t="shared" ref="AG34" si="21">SUM(AG2:AG32)</f>
        <v>14619534.715229144</v>
      </c>
    </row>
    <row r="35" spans="1:33" x14ac:dyDescent="0.2">
      <c r="C35" s="63">
        <f>1-C34</f>
        <v>0</v>
      </c>
      <c r="D35" s="63">
        <f>1-D34</f>
        <v>0</v>
      </c>
      <c r="E35" s="63">
        <f>1-E34</f>
        <v>1.4664241297146385E-2</v>
      </c>
      <c r="F35" s="63">
        <v>6.4557779212393029E-4</v>
      </c>
      <c r="G35" s="63">
        <f t="shared" ref="G35:L35" si="22">1-G34</f>
        <v>0</v>
      </c>
      <c r="H35" s="63">
        <f t="shared" si="22"/>
        <v>0</v>
      </c>
      <c r="I35" s="63">
        <f t="shared" si="22"/>
        <v>3.6723562800174414E-2</v>
      </c>
      <c r="J35" s="63">
        <f t="shared" si="22"/>
        <v>1.3453166986564291E-2</v>
      </c>
      <c r="K35" s="63">
        <f t="shared" si="22"/>
        <v>0</v>
      </c>
      <c r="L35" s="63">
        <f t="shared" si="22"/>
        <v>8.7580952380954535E-3</v>
      </c>
      <c r="V35" s="7"/>
      <c r="W35" s="7"/>
      <c r="X35" s="7"/>
      <c r="Y35" s="7"/>
      <c r="Z35" s="7"/>
      <c r="AA35" s="7"/>
    </row>
    <row r="36" spans="1:33" x14ac:dyDescent="0.2">
      <c r="F36" s="63">
        <f>1-F34</f>
        <v>0</v>
      </c>
      <c r="J36" s="6">
        <v>2.2430155683483832E-5</v>
      </c>
      <c r="V36" s="45"/>
    </row>
    <row r="37" spans="1:33" x14ac:dyDescent="0.2">
      <c r="A37" t="s">
        <v>41</v>
      </c>
      <c r="B37" s="7">
        <v>19368.98442099063</v>
      </c>
    </row>
    <row r="38" spans="1:33" x14ac:dyDescent="0.2">
      <c r="A38" t="s">
        <v>42</v>
      </c>
      <c r="B38" s="7">
        <v>25905360.832128339</v>
      </c>
    </row>
    <row r="39" spans="1:33" x14ac:dyDescent="0.2">
      <c r="A39" t="s">
        <v>43</v>
      </c>
      <c r="B39" s="7">
        <v>1883606.6696007079</v>
      </c>
    </row>
    <row r="40" spans="1:33" x14ac:dyDescent="0.2">
      <c r="A40" t="s">
        <v>44</v>
      </c>
      <c r="B40" s="7">
        <v>186264.75</v>
      </c>
    </row>
    <row r="41" spans="1:33" x14ac:dyDescent="0.2">
      <c r="A41" t="s">
        <v>7</v>
      </c>
      <c r="B41" s="7">
        <v>641848.72300969646</v>
      </c>
    </row>
    <row r="42" spans="1:33" x14ac:dyDescent="0.2">
      <c r="A42" t="s">
        <v>45</v>
      </c>
      <c r="B42" s="7">
        <v>560519.49488356302</v>
      </c>
    </row>
    <row r="43" spans="1:33" x14ac:dyDescent="0.2">
      <c r="A43" t="s">
        <v>13</v>
      </c>
      <c r="B43" s="7">
        <v>713666.6068372546</v>
      </c>
    </row>
    <row r="44" spans="1:33" x14ac:dyDescent="0.2">
      <c r="A44" t="s">
        <v>46</v>
      </c>
      <c r="B44" s="7">
        <v>4742533.7013367079</v>
      </c>
    </row>
    <row r="45" spans="1:33" x14ac:dyDescent="0.2">
      <c r="A45" t="s">
        <v>31</v>
      </c>
      <c r="B45" s="7">
        <v>3100858.1606013379</v>
      </c>
    </row>
    <row r="46" spans="1:33" x14ac:dyDescent="0.2">
      <c r="A46" t="s">
        <v>62</v>
      </c>
      <c r="B46" s="7">
        <f>4016081.05057488</f>
        <v>4016081.0505748801</v>
      </c>
    </row>
    <row r="47" spans="1:33" x14ac:dyDescent="0.2">
      <c r="A47" t="s">
        <v>63</v>
      </c>
      <c r="B47" s="7">
        <v>3787573.0199999986</v>
      </c>
    </row>
    <row r="48" spans="1:33" x14ac:dyDescent="0.2">
      <c r="A48" t="s">
        <v>65</v>
      </c>
      <c r="B48" s="7">
        <v>4454714.55</v>
      </c>
    </row>
    <row r="52" spans="3:29" x14ac:dyDescent="0.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AC52"/>
    </row>
    <row r="53" spans="3:29" x14ac:dyDescent="0.2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AC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AE4D-BAF0-7340-AB37-9EE1C8F8426A}">
  <dimension ref="A1:E34"/>
  <sheetViews>
    <sheetView zoomScale="98" workbookViewId="0">
      <selection activeCell="A7" sqref="A7"/>
    </sheetView>
  </sheetViews>
  <sheetFormatPr baseColWidth="10" defaultRowHeight="16" x14ac:dyDescent="0.2"/>
  <cols>
    <col min="1" max="1" width="28.83203125" bestFit="1" customWidth="1"/>
    <col min="2" max="2" width="13.6640625" bestFit="1" customWidth="1"/>
    <col min="3" max="3" width="13.5" bestFit="1" customWidth="1"/>
    <col min="5" max="5" width="15.83203125" bestFit="1" customWidth="1"/>
  </cols>
  <sheetData>
    <row r="1" spans="1:5" x14ac:dyDescent="0.2">
      <c r="A1" t="s">
        <v>0</v>
      </c>
      <c r="B1" t="s">
        <v>334</v>
      </c>
      <c r="C1" t="s">
        <v>335</v>
      </c>
      <c r="D1" t="s">
        <v>336</v>
      </c>
      <c r="E1" t="s">
        <v>70</v>
      </c>
    </row>
    <row r="2" spans="1:5" x14ac:dyDescent="0.2">
      <c r="A2" t="s">
        <v>6</v>
      </c>
      <c r="B2" s="8">
        <v>1085154.1090701092</v>
      </c>
      <c r="C2">
        <f>VLOOKUP(A2,'Key Ratios and IC'!$A$2:$H$32,8,)</f>
        <v>0</v>
      </c>
      <c r="D2" s="45">
        <f>VLOOKUP(A2,'Key Ratios and IC'!$A$2:$H$32,7,)*$B$4</f>
        <v>16375.806937515135</v>
      </c>
      <c r="E2" s="42">
        <f>SUM(B2:D2)</f>
        <v>1101529.9160076242</v>
      </c>
    </row>
    <row r="3" spans="1:5" x14ac:dyDescent="0.2">
      <c r="A3" t="s">
        <v>333</v>
      </c>
      <c r="B3" s="8">
        <v>2968048.1063718251</v>
      </c>
      <c r="C3">
        <v>0</v>
      </c>
      <c r="D3" s="45">
        <v>0</v>
      </c>
      <c r="E3" s="42">
        <v>0</v>
      </c>
    </row>
    <row r="4" spans="1:5" x14ac:dyDescent="0.2">
      <c r="A4" t="s">
        <v>331</v>
      </c>
      <c r="B4" s="8">
        <v>102449.13631962752</v>
      </c>
      <c r="C4">
        <v>0</v>
      </c>
      <c r="D4" s="45">
        <v>0</v>
      </c>
      <c r="E4" s="42">
        <v>0</v>
      </c>
    </row>
    <row r="5" spans="1:5" x14ac:dyDescent="0.2">
      <c r="A5" t="s">
        <v>8</v>
      </c>
      <c r="B5" s="8">
        <v>737511.72447005089</v>
      </c>
      <c r="C5">
        <f>VLOOKUP(A5,'Key Ratios and IC'!$A$2:$H$32,8,)</f>
        <v>0</v>
      </c>
      <c r="D5" s="45">
        <f>VLOOKUP(A5,'Key Ratios and IC'!$A$2:$H$32,7,)*$B$4</f>
        <v>6250.4019763008237</v>
      </c>
      <c r="E5" s="42">
        <f t="shared" ref="E5:E33" si="0">SUM(B5:D5)</f>
        <v>743762.12644635176</v>
      </c>
    </row>
    <row r="6" spans="1:5" x14ac:dyDescent="0.2">
      <c r="A6" s="15" t="s">
        <v>332</v>
      </c>
      <c r="B6" s="8">
        <v>15352.330960545238</v>
      </c>
      <c r="C6">
        <f>VLOOKUP(A6,'Key Ratios and IC'!$A$2:$H$32,8,)</f>
        <v>0</v>
      </c>
      <c r="D6" s="45">
        <f>VLOOKUP(A6,'Key Ratios and IC'!$A$2:$H$32,7,)*$B$4</f>
        <v>3676.3690678728021</v>
      </c>
      <c r="E6" s="42">
        <f t="shared" si="0"/>
        <v>19028.700028418039</v>
      </c>
    </row>
    <row r="7" spans="1:5" x14ac:dyDescent="0.2">
      <c r="A7" t="s">
        <v>35</v>
      </c>
      <c r="B7" s="8">
        <v>1006144.723840341</v>
      </c>
      <c r="C7">
        <f>VLOOKUP(A7,'Key Ratios and IC'!$A$2:$H$32,8,)</f>
        <v>0</v>
      </c>
      <c r="D7" s="45">
        <f>VLOOKUP(A7,'Key Ratios and IC'!$A$2:$H$32,7,)*$B$4</f>
        <v>0</v>
      </c>
      <c r="E7" s="42">
        <f t="shared" si="0"/>
        <v>1006144.723840341</v>
      </c>
    </row>
    <row r="8" spans="1:5" x14ac:dyDescent="0.2">
      <c r="A8" t="s">
        <v>10</v>
      </c>
      <c r="B8" s="8">
        <v>489769.469763931</v>
      </c>
      <c r="C8">
        <f>VLOOKUP(A8,'Key Ratios and IC'!$A$2:$H$32,8,)</f>
        <v>0</v>
      </c>
      <c r="D8" s="45">
        <f>VLOOKUP(A8,'Key Ratios and IC'!$A$2:$H$32,7,)*$B$4</f>
        <v>0</v>
      </c>
      <c r="E8" s="42">
        <f t="shared" si="0"/>
        <v>489769.469763931</v>
      </c>
    </row>
    <row r="9" spans="1:5" x14ac:dyDescent="0.2">
      <c r="A9" s="15" t="s">
        <v>37</v>
      </c>
      <c r="B9" s="8">
        <v>492016.54689185717</v>
      </c>
      <c r="C9">
        <f>VLOOKUP(A9,'Key Ratios and IC'!$A$2:$H$32,8,)</f>
        <v>0</v>
      </c>
      <c r="D9" s="45">
        <f>VLOOKUP(A9,'Key Ratios and IC'!$A$2:$H$32,7,)*$B$4</f>
        <v>10781.225207972595</v>
      </c>
      <c r="E9" s="42">
        <f t="shared" si="0"/>
        <v>502797.77209982974</v>
      </c>
    </row>
    <row r="10" spans="1:5" x14ac:dyDescent="0.2">
      <c r="A10" t="s">
        <v>12</v>
      </c>
      <c r="B10" s="8">
        <v>395370.92963227344</v>
      </c>
      <c r="C10">
        <f>VLOOKUP(A10,'Key Ratios and IC'!$A$2:$H$32,8,)</f>
        <v>0</v>
      </c>
      <c r="D10" s="45">
        <f>VLOOKUP(A10,'Key Ratios and IC'!$A$2:$H$32,7,)*$B$4</f>
        <v>0</v>
      </c>
      <c r="E10" s="42">
        <f t="shared" si="0"/>
        <v>395370.92963227344</v>
      </c>
    </row>
    <row r="11" spans="1:5" x14ac:dyDescent="0.2">
      <c r="A11" t="s">
        <v>15</v>
      </c>
      <c r="B11" s="8">
        <v>1124268.4891454601</v>
      </c>
      <c r="C11">
        <f>VLOOKUP(A11,'Key Ratios and IC'!$A$2:$H$32,8,)</f>
        <v>0</v>
      </c>
      <c r="D11" s="45">
        <f>VLOOKUP(A11,'Key Ratios and IC'!$A$2:$H$32,7,)*$B$4</f>
        <v>8246.5907624286774</v>
      </c>
      <c r="E11" s="42">
        <f t="shared" si="0"/>
        <v>1132515.0799078888</v>
      </c>
    </row>
    <row r="12" spans="1:5" x14ac:dyDescent="0.2">
      <c r="A12" t="s">
        <v>17</v>
      </c>
      <c r="B12" s="8">
        <v>882735.4580111953</v>
      </c>
      <c r="C12">
        <f>VLOOKUP(A12,'Key Ratios and IC'!$A$2:$H$32,8,)</f>
        <v>0</v>
      </c>
      <c r="D12" s="45">
        <f>VLOOKUP(A12,'Key Ratios and IC'!$A$2:$H$32,7,)*$B$4</f>
        <v>5120.9793736232223</v>
      </c>
      <c r="E12" s="42">
        <f t="shared" si="0"/>
        <v>887856.43738481856</v>
      </c>
    </row>
    <row r="13" spans="1:5" x14ac:dyDescent="0.2">
      <c r="A13" s="15" t="s">
        <v>30</v>
      </c>
      <c r="B13" s="8">
        <v>599122.3817431943</v>
      </c>
      <c r="C13">
        <f>VLOOKUP(A13,'Key Ratios and IC'!$A$2:$H$32,8,)</f>
        <v>0</v>
      </c>
      <c r="D13" s="45">
        <f>VLOOKUP(A13,'Key Ratios and IC'!$A$2:$H$32,7,)*$B$4</f>
        <v>1417.5238625175998</v>
      </c>
      <c r="E13" s="42">
        <f t="shared" si="0"/>
        <v>600539.90560571186</v>
      </c>
    </row>
    <row r="14" spans="1:5" x14ac:dyDescent="0.2">
      <c r="A14" t="s">
        <v>31</v>
      </c>
      <c r="B14" s="41">
        <v>6751172.7398926476</v>
      </c>
      <c r="C14">
        <f>VLOOKUP(A14,'Key Ratios and IC'!$A$2:$H$32,8,)</f>
        <v>0</v>
      </c>
      <c r="D14" s="45">
        <f>VLOOKUP(A14,'Key Ratios and IC'!$A$2:$H$32,7,)*$B$4</f>
        <v>0</v>
      </c>
      <c r="E14" s="42">
        <f t="shared" si="0"/>
        <v>6751172.7398926476</v>
      </c>
    </row>
    <row r="15" spans="1:5" x14ac:dyDescent="0.2">
      <c r="A15" s="15" t="s">
        <v>138</v>
      </c>
      <c r="B15" s="8">
        <v>455874.25279219379</v>
      </c>
      <c r="C15">
        <f>VLOOKUP(A15,'Key Ratios and IC'!$A$2:$H$32,8,)</f>
        <v>0</v>
      </c>
      <c r="D15" s="45">
        <f>VLOOKUP(A15,'Key Ratios and IC'!$A$2:$H$32,7,)*$B$4</f>
        <v>0</v>
      </c>
      <c r="E15" s="42">
        <f t="shared" si="0"/>
        <v>455874.25279219379</v>
      </c>
    </row>
    <row r="16" spans="1:5" x14ac:dyDescent="0.2">
      <c r="A16" t="s">
        <v>32</v>
      </c>
      <c r="B16" s="8">
        <v>747321.56990285963</v>
      </c>
      <c r="C16">
        <f>VLOOKUP(A16,'Key Ratios and IC'!$A$2:$H$32,8,)</f>
        <v>0</v>
      </c>
      <c r="D16" s="45">
        <f>VLOOKUP(A16,'Key Ratios and IC'!$A$2:$H$32,7,)*$B$4</f>
        <v>1575.1177140540092</v>
      </c>
      <c r="E16" s="42">
        <f t="shared" si="0"/>
        <v>748896.68761691358</v>
      </c>
    </row>
    <row r="17" spans="1:5" x14ac:dyDescent="0.2">
      <c r="A17" t="s">
        <v>21</v>
      </c>
      <c r="B17" s="8">
        <v>2673646.1725189015</v>
      </c>
      <c r="C17">
        <f>VLOOKUP(A17,'Key Ratios and IC'!$A$2:$H$32,8,)</f>
        <v>0</v>
      </c>
      <c r="D17" s="45">
        <f>VLOOKUP(A17,'Key Ratios and IC'!$A$2:$H$32,7,)*$B$4</f>
        <v>0</v>
      </c>
      <c r="E17" s="42">
        <f t="shared" si="0"/>
        <v>2673646.1725189015</v>
      </c>
    </row>
    <row r="18" spans="1:5" x14ac:dyDescent="0.2">
      <c r="A18" t="s">
        <v>38</v>
      </c>
      <c r="B18" s="8">
        <v>1390073.756403978</v>
      </c>
      <c r="C18">
        <f>VLOOKUP(A18,'Key Ratios and IC'!$A$2:$H$32,8,)</f>
        <v>0</v>
      </c>
      <c r="D18" s="45">
        <f>VLOOKUP(A18,'Key Ratios and IC'!$A$2:$H$32,7,)*$B$4</f>
        <v>0</v>
      </c>
      <c r="E18" s="42">
        <f t="shared" si="0"/>
        <v>1390073.756403978</v>
      </c>
    </row>
    <row r="19" spans="1:5" x14ac:dyDescent="0.2">
      <c r="A19" t="s">
        <v>33</v>
      </c>
      <c r="B19" s="8">
        <v>1955265.5768801342</v>
      </c>
      <c r="C19">
        <f>VLOOKUP(A19,'Key Ratios and IC'!$A$2:$H$32,8,)</f>
        <v>0</v>
      </c>
      <c r="D19" s="45">
        <f>VLOOKUP(A19,'Key Ratios and IC'!$A$2:$H$32,7,)*$B$4</f>
        <v>0</v>
      </c>
      <c r="E19" s="42">
        <f t="shared" si="0"/>
        <v>1955265.5768801342</v>
      </c>
    </row>
    <row r="20" spans="1:5" x14ac:dyDescent="0.2">
      <c r="A20" t="s">
        <v>22</v>
      </c>
      <c r="B20" s="8">
        <v>926649.79083866044</v>
      </c>
      <c r="C20">
        <f>VLOOKUP(A20,'Key Ratios and IC'!$A$2:$H$32,8,)</f>
        <v>0</v>
      </c>
      <c r="D20" s="45">
        <f>VLOOKUP(A20,'Key Ratios and IC'!$A$2:$H$32,7,)*$B$4</f>
        <v>4175.4162644047656</v>
      </c>
      <c r="E20" s="42">
        <f t="shared" si="0"/>
        <v>930825.20710306522</v>
      </c>
    </row>
    <row r="21" spans="1:5" x14ac:dyDescent="0.2">
      <c r="A21" t="s">
        <v>23</v>
      </c>
      <c r="B21" s="8">
        <v>405298.67247664661</v>
      </c>
      <c r="C21">
        <f>VLOOKUP(A21,'Key Ratios and IC'!$A$2:$H$32,8,)</f>
        <v>0</v>
      </c>
      <c r="D21" s="45">
        <f>VLOOKUP(A21,'Key Ratios and IC'!$A$2:$H$32,7,)*$B$4</f>
        <v>3610.7049630659649</v>
      </c>
      <c r="E21" s="42">
        <f t="shared" si="0"/>
        <v>408909.37743971258</v>
      </c>
    </row>
    <row r="22" spans="1:5" x14ac:dyDescent="0.2">
      <c r="A22" t="s">
        <v>24</v>
      </c>
      <c r="B22" s="8">
        <v>537922.7321808358</v>
      </c>
      <c r="C22">
        <f>VLOOKUP(A22,'Key Ratios and IC'!$A$2:$H$32,8,)</f>
        <v>0</v>
      </c>
      <c r="D22" s="45">
        <f>VLOOKUP(A22,'Key Ratios and IC'!$A$2:$H$32,7,)*$B$4</f>
        <v>7169.6994435965444</v>
      </c>
      <c r="E22" s="42">
        <f t="shared" si="0"/>
        <v>545092.43162443233</v>
      </c>
    </row>
    <row r="23" spans="1:5" x14ac:dyDescent="0.2">
      <c r="A23" t="s">
        <v>25</v>
      </c>
      <c r="B23" s="8">
        <v>726180.72609104274</v>
      </c>
      <c r="C23">
        <f>VLOOKUP(A23,'Key Ratios and IC'!$A$2:$H$32,8,)</f>
        <v>0</v>
      </c>
      <c r="D23" s="45">
        <f>VLOOKUP(A23,'Key Ratios and IC'!$A$2:$H$32,7,)*$B$4</f>
        <v>21261.216335143825</v>
      </c>
      <c r="E23" s="42">
        <f t="shared" si="0"/>
        <v>747441.94242618652</v>
      </c>
    </row>
    <row r="24" spans="1:5" x14ac:dyDescent="0.2">
      <c r="A24" t="s">
        <v>26</v>
      </c>
      <c r="B24" s="8">
        <v>753147.91646821122</v>
      </c>
      <c r="C24">
        <f>VLOOKUP(A24,'Key Ratios and IC'!$A$2:$H$32,8,)</f>
        <v>0</v>
      </c>
      <c r="D24" s="45">
        <f>VLOOKUP(A24,'Key Ratios and IC'!$A$2:$H$32,7,)*$B$4</f>
        <v>892.21102406290163</v>
      </c>
      <c r="E24" s="42">
        <f t="shared" si="0"/>
        <v>754040.12749227416</v>
      </c>
    </row>
    <row r="25" spans="1:5" x14ac:dyDescent="0.2">
      <c r="A25" t="s">
        <v>27</v>
      </c>
      <c r="B25" s="8">
        <v>450295.44619055244</v>
      </c>
      <c r="C25">
        <f>VLOOKUP(A25,'Key Ratios and IC'!$A$2:$H$32,8,)</f>
        <v>0</v>
      </c>
      <c r="D25" s="45">
        <f>VLOOKUP(A25,'Key Ratios and IC'!$A$2:$H$32,7,)*$B$4</f>
        <v>5094.7137317004863</v>
      </c>
      <c r="E25" s="42">
        <f t="shared" si="0"/>
        <v>455390.15992225293</v>
      </c>
    </row>
    <row r="26" spans="1:5" x14ac:dyDescent="0.2">
      <c r="A26" t="s">
        <v>28</v>
      </c>
      <c r="B26" s="8">
        <v>295447.97127140401</v>
      </c>
      <c r="C26">
        <f>VLOOKUP(A26,'Key Ratios and IC'!$A$2:$H$32,8,)</f>
        <v>0</v>
      </c>
      <c r="D26" s="45">
        <f>VLOOKUP(A26,'Key Ratios and IC'!$A$2:$H$32,7,)*$B$4</f>
        <v>0</v>
      </c>
      <c r="E26" s="42">
        <f t="shared" si="0"/>
        <v>295447.97127140401</v>
      </c>
    </row>
    <row r="27" spans="1:5" x14ac:dyDescent="0.2">
      <c r="A27" t="s">
        <v>39</v>
      </c>
      <c r="B27" s="8">
        <v>12945.229591069725</v>
      </c>
      <c r="C27">
        <f>VLOOKUP(A27,'Key Ratios and IC'!$A$2:$H$32,8,)</f>
        <v>0</v>
      </c>
      <c r="D27" s="45">
        <f>VLOOKUP(A27,'Key Ratios and IC'!$A$2:$H$32,7,)*$B$4</f>
        <v>1259.9300109811902</v>
      </c>
      <c r="E27" s="42">
        <f t="shared" si="0"/>
        <v>14205.159602050915</v>
      </c>
    </row>
    <row r="28" spans="1:5" x14ac:dyDescent="0.2">
      <c r="A28" t="s">
        <v>34</v>
      </c>
      <c r="B28" s="8">
        <v>426638.02128136525</v>
      </c>
      <c r="C28">
        <f>VLOOKUP(A28,'Key Ratios and IC'!$A$2:$H$32,8,)</f>
        <v>0</v>
      </c>
      <c r="D28" s="45">
        <f>VLOOKUP(A28,'Key Ratios and IC'!$A$2:$H$32,7,)*$B$4</f>
        <v>0</v>
      </c>
      <c r="E28" s="42">
        <f t="shared" si="0"/>
        <v>426638.02128136525</v>
      </c>
    </row>
    <row r="29" spans="1:5" x14ac:dyDescent="0.2">
      <c r="A29" t="s">
        <v>4</v>
      </c>
      <c r="B29" s="8">
        <v>0</v>
      </c>
      <c r="C29" s="45">
        <f>VLOOKUP(A29,'Key Ratios and IC'!$A$2:$H$32,8,)*$B$3</f>
        <v>385552.78845130088</v>
      </c>
      <c r="D29" s="45">
        <f>VLOOKUP(A29,'Key Ratios and IC'!$A$2:$H$32,7,)*$B$4</f>
        <v>0</v>
      </c>
      <c r="E29" s="42">
        <f t="shared" si="0"/>
        <v>385552.78845130088</v>
      </c>
    </row>
    <row r="30" spans="1:5" x14ac:dyDescent="0.2">
      <c r="A30" t="s">
        <v>14</v>
      </c>
      <c r="B30" s="8">
        <v>0</v>
      </c>
      <c r="C30" s="45">
        <f>VLOOKUP(A30,'Key Ratios and IC'!$A$2:$H$32,8,)*$B$3</f>
        <v>241855.94866105224</v>
      </c>
      <c r="D30" s="45">
        <f>VLOOKUP(A30,'Key Ratios and IC'!$A$2:$H$32,7,)*$B$4</f>
        <v>0</v>
      </c>
      <c r="E30" s="42">
        <f t="shared" si="0"/>
        <v>241855.94866105224</v>
      </c>
    </row>
    <row r="31" spans="1:5" x14ac:dyDescent="0.2">
      <c r="A31" t="s">
        <v>16</v>
      </c>
      <c r="B31" s="8">
        <v>0</v>
      </c>
      <c r="C31" s="45">
        <f>VLOOKUP(A31,'Key Ratios and IC'!$A$2:$H$32,8,)*$B$3</f>
        <v>486747.7460500676</v>
      </c>
      <c r="D31" s="45">
        <f>VLOOKUP(A31,'Key Ratios and IC'!$A$2:$H$32,7,)*$B$4</f>
        <v>0</v>
      </c>
      <c r="E31" s="42">
        <f t="shared" si="0"/>
        <v>486747.7460500676</v>
      </c>
    </row>
    <row r="32" spans="1:5" x14ac:dyDescent="0.2">
      <c r="A32" t="s">
        <v>19</v>
      </c>
      <c r="B32" s="8">
        <v>0</v>
      </c>
      <c r="C32" s="45">
        <f>VLOOKUP(A32,'Key Ratios and IC'!$A$2:$H$32,8,)*$B$3</f>
        <v>1266960.8691365579</v>
      </c>
      <c r="D32" s="45">
        <f>VLOOKUP(A32,'Key Ratios and IC'!$A$2:$H$32,7,)*$B$4</f>
        <v>0</v>
      </c>
      <c r="E32" s="42">
        <f t="shared" si="0"/>
        <v>1266960.8691365579</v>
      </c>
    </row>
    <row r="33" spans="1:5" x14ac:dyDescent="0.2">
      <c r="A33" t="s">
        <v>20</v>
      </c>
      <c r="B33" s="8">
        <v>0</v>
      </c>
      <c r="C33" s="45">
        <f>VLOOKUP(A33,'Key Ratios and IC'!$A$2:$H$32,8,)*$B$3</f>
        <v>586930.7540728465</v>
      </c>
      <c r="D33" s="45">
        <f>VLOOKUP(A33,'Key Ratios and IC'!$A$2:$H$32,7,)*$B$4</f>
        <v>0</v>
      </c>
      <c r="E33" s="42">
        <f t="shared" si="0"/>
        <v>586930.7540728465</v>
      </c>
    </row>
    <row r="34" spans="1:5" x14ac:dyDescent="0.2">
      <c r="C34">
        <f>SUM(C2:C33)</f>
        <v>2968048.1063718251</v>
      </c>
      <c r="D34">
        <f>SUM(D2:D33)</f>
        <v>96907.906675240534</v>
      </c>
      <c r="E34" s="42">
        <f>SUM(E2:E33)</f>
        <v>28400282.75135652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C0ED-AB4C-5843-AC66-91DD8C06BB95}">
  <dimension ref="A3:C45"/>
  <sheetViews>
    <sheetView topLeftCell="A12" workbookViewId="0">
      <selection activeCell="B7" sqref="B7"/>
    </sheetView>
  </sheetViews>
  <sheetFormatPr baseColWidth="10" defaultRowHeight="16" x14ac:dyDescent="0.2"/>
  <cols>
    <col min="1" max="1" width="28.83203125" bestFit="1" customWidth="1"/>
    <col min="2" max="2" width="15.33203125" bestFit="1" customWidth="1"/>
  </cols>
  <sheetData>
    <row r="3" spans="1:3" x14ac:dyDescent="0.2">
      <c r="A3" s="39" t="s">
        <v>86</v>
      </c>
      <c r="B3" t="s">
        <v>87</v>
      </c>
    </row>
    <row r="4" spans="1:3" x14ac:dyDescent="0.2">
      <c r="A4" s="40">
        <v>0</v>
      </c>
      <c r="B4" s="41">
        <v>0</v>
      </c>
    </row>
    <row r="5" spans="1:3" x14ac:dyDescent="0.2">
      <c r="A5" s="40" t="s">
        <v>6</v>
      </c>
      <c r="B5" s="41">
        <v>1085154.1090701092</v>
      </c>
      <c r="C5">
        <f>VLOOKUP(A5,'Direct Costs Allocation'!$A$2:$E$33,5,)</f>
        <v>1101529.9160076242</v>
      </c>
    </row>
    <row r="6" spans="1:3" x14ac:dyDescent="0.2">
      <c r="A6" s="40" t="s">
        <v>333</v>
      </c>
      <c r="B6" s="41">
        <v>2968048.1063718251</v>
      </c>
      <c r="C6">
        <f>VLOOKUP(A6,'Direct Costs Allocation'!$A$2:$E$33,5,)</f>
        <v>0</v>
      </c>
    </row>
    <row r="7" spans="1:3" x14ac:dyDescent="0.2">
      <c r="A7" s="40" t="s">
        <v>45</v>
      </c>
      <c r="B7" s="41">
        <v>560519.49488356302</v>
      </c>
      <c r="C7" t="e">
        <f>VLOOKUP(A7,'Direct Costs Allocation'!$A$2:$E$33,5,)</f>
        <v>#N/A</v>
      </c>
    </row>
    <row r="8" spans="1:3" x14ac:dyDescent="0.2">
      <c r="A8" s="40" t="s">
        <v>7</v>
      </c>
      <c r="B8" s="41">
        <v>641848.72300969646</v>
      </c>
      <c r="C8" t="e">
        <f>VLOOKUP(A8,'Direct Costs Allocation'!$A$2:$E$33,5,)</f>
        <v>#N/A</v>
      </c>
    </row>
    <row r="9" spans="1:3" x14ac:dyDescent="0.2">
      <c r="A9" s="40" t="s">
        <v>331</v>
      </c>
      <c r="B9" s="41">
        <v>102449.13631962752</v>
      </c>
      <c r="C9">
        <f>VLOOKUP(A9,'Direct Costs Allocation'!$A$2:$E$33,5,)</f>
        <v>0</v>
      </c>
    </row>
    <row r="10" spans="1:3" x14ac:dyDescent="0.2">
      <c r="A10" s="40" t="s">
        <v>8</v>
      </c>
      <c r="B10" s="41">
        <v>737511.72447005089</v>
      </c>
      <c r="C10">
        <f>VLOOKUP(A10,'Direct Costs Allocation'!$A$2:$E$33,5,)</f>
        <v>743762.12644635176</v>
      </c>
    </row>
    <row r="11" spans="1:3" x14ac:dyDescent="0.2">
      <c r="A11" s="40" t="s">
        <v>129</v>
      </c>
      <c r="B11" s="41">
        <v>15352.330960545238</v>
      </c>
    </row>
    <row r="12" spans="1:3" x14ac:dyDescent="0.2">
      <c r="A12" s="40" t="s">
        <v>13</v>
      </c>
      <c r="B12" s="41">
        <v>713666.6068372546</v>
      </c>
      <c r="C12" t="e">
        <f>VLOOKUP(A12,'Direct Costs Allocation'!$A$2:$E$33,5,)</f>
        <v>#N/A</v>
      </c>
    </row>
    <row r="13" spans="1:3" x14ac:dyDescent="0.2">
      <c r="A13" s="40" t="s">
        <v>35</v>
      </c>
      <c r="B13" s="41">
        <v>1006144.723840341</v>
      </c>
      <c r="C13">
        <f>VLOOKUP(A13,'Direct Costs Allocation'!$A$2:$E$33,5,)</f>
        <v>1006144.723840341</v>
      </c>
    </row>
    <row r="14" spans="1:3" x14ac:dyDescent="0.2">
      <c r="A14" s="40" t="s">
        <v>10</v>
      </c>
      <c r="B14" s="41">
        <v>489769.469763931</v>
      </c>
      <c r="C14">
        <f>VLOOKUP(A14,'Direct Costs Allocation'!$A$2:$E$33,5,)</f>
        <v>489769.469763931</v>
      </c>
    </row>
    <row r="15" spans="1:3" x14ac:dyDescent="0.2">
      <c r="A15" s="40" t="s">
        <v>37</v>
      </c>
      <c r="B15" s="41">
        <v>492016.54689185717</v>
      </c>
    </row>
    <row r="16" spans="1:3" x14ac:dyDescent="0.2">
      <c r="A16" s="40" t="s">
        <v>12</v>
      </c>
      <c r="B16" s="41">
        <v>395370.92963227344</v>
      </c>
      <c r="C16">
        <f>VLOOKUP(A16,'Direct Costs Allocation'!$A$2:$E$33,5,)</f>
        <v>395370.92963227344</v>
      </c>
    </row>
    <row r="17" spans="1:3" x14ac:dyDescent="0.2">
      <c r="A17" s="40" t="s">
        <v>15</v>
      </c>
      <c r="B17" s="41">
        <v>1124268.4891454601</v>
      </c>
      <c r="C17">
        <f>VLOOKUP(A17,'Direct Costs Allocation'!$A$2:$E$33,5,)</f>
        <v>1132515.0799078888</v>
      </c>
    </row>
    <row r="18" spans="1:3" x14ac:dyDescent="0.2">
      <c r="A18" s="40" t="s">
        <v>99</v>
      </c>
      <c r="B18" s="41">
        <v>64788699.729999997</v>
      </c>
      <c r="C18" t="e">
        <f>VLOOKUP(A18,'Direct Costs Allocation'!$A$2:$E$33,5,)</f>
        <v>#N/A</v>
      </c>
    </row>
    <row r="19" spans="1:3" x14ac:dyDescent="0.2">
      <c r="A19" s="40" t="s">
        <v>102</v>
      </c>
      <c r="B19" s="41">
        <v>9854681.3671804853</v>
      </c>
      <c r="C19" t="e">
        <f>VLOOKUP(A19,'Direct Costs Allocation'!$A$2:$E$33,5,)</f>
        <v>#N/A</v>
      </c>
    </row>
    <row r="20" spans="1:3" x14ac:dyDescent="0.2">
      <c r="A20" s="40" t="s">
        <v>41</v>
      </c>
      <c r="B20" s="41">
        <v>19368.98442099063</v>
      </c>
      <c r="C20" t="e">
        <f>VLOOKUP(A20,'Direct Costs Allocation'!$A$2:$E$33,5,)</f>
        <v>#N/A</v>
      </c>
    </row>
    <row r="21" spans="1:3" x14ac:dyDescent="0.2">
      <c r="A21" s="40" t="s">
        <v>108</v>
      </c>
      <c r="B21" s="41">
        <v>186264.75</v>
      </c>
      <c r="C21" t="e">
        <f>VLOOKUP(A21,'Direct Costs Allocation'!$A$2:$E$33,5,)</f>
        <v>#N/A</v>
      </c>
    </row>
    <row r="22" spans="1:3" x14ac:dyDescent="0.2">
      <c r="A22" s="40" t="s">
        <v>17</v>
      </c>
      <c r="B22" s="41">
        <v>882735.4580111953</v>
      </c>
      <c r="C22">
        <f>VLOOKUP(A22,'Direct Costs Allocation'!$A$2:$E$33,5,)</f>
        <v>887856.43738481856</v>
      </c>
    </row>
    <row r="23" spans="1:3" x14ac:dyDescent="0.2">
      <c r="A23" s="40" t="s">
        <v>30</v>
      </c>
      <c r="B23" s="41">
        <v>599122.3817431943</v>
      </c>
    </row>
    <row r="24" spans="1:3" x14ac:dyDescent="0.2">
      <c r="A24" s="40" t="s">
        <v>138</v>
      </c>
      <c r="B24" s="41">
        <v>455874.25279219379</v>
      </c>
      <c r="C24">
        <f>VLOOKUP(A24,'Direct Costs Allocation'!$A$2:$E$33,5,)</f>
        <v>455874.25279219379</v>
      </c>
    </row>
    <row r="25" spans="1:3" x14ac:dyDescent="0.2">
      <c r="A25" s="40" t="s">
        <v>117</v>
      </c>
      <c r="B25" s="41">
        <v>1818281.39</v>
      </c>
    </row>
    <row r="26" spans="1:3" x14ac:dyDescent="0.2">
      <c r="A26" s="40" t="s">
        <v>32</v>
      </c>
      <c r="B26" s="41">
        <v>747321.56990285963</v>
      </c>
      <c r="C26">
        <f>VLOOKUP(A26,'Direct Costs Allocation'!$A$2:$E$33,5,)</f>
        <v>748896.68761691358</v>
      </c>
    </row>
    <row r="27" spans="1:3" x14ac:dyDescent="0.2">
      <c r="A27" s="40" t="s">
        <v>21</v>
      </c>
      <c r="B27" s="41">
        <v>2673646.1725189015</v>
      </c>
      <c r="C27">
        <f>VLOOKUP(A27,'Direct Costs Allocation'!$A$2:$E$33,5,)</f>
        <v>2673646.1725189015</v>
      </c>
    </row>
    <row r="28" spans="1:3" x14ac:dyDescent="0.2">
      <c r="A28" s="40" t="s">
        <v>38</v>
      </c>
      <c r="B28" s="41">
        <v>1390073.756403978</v>
      </c>
      <c r="C28">
        <f>VLOOKUP(A28,'Direct Costs Allocation'!$A$2:$E$33,5,)</f>
        <v>1390073.756403978</v>
      </c>
    </row>
    <row r="29" spans="1:3" x14ac:dyDescent="0.2">
      <c r="A29" s="40" t="s">
        <v>111</v>
      </c>
      <c r="B29" s="41">
        <v>4742533.7013367079</v>
      </c>
      <c r="C29" t="e">
        <f>VLOOKUP(A29,'Direct Costs Allocation'!$A$2:$E$33,5,)</f>
        <v>#N/A</v>
      </c>
    </row>
    <row r="30" spans="1:3" x14ac:dyDescent="0.2">
      <c r="A30" s="40" t="s">
        <v>33</v>
      </c>
      <c r="B30" s="41">
        <v>1955265.5768801342</v>
      </c>
      <c r="C30">
        <f>VLOOKUP(A30,'Direct Costs Allocation'!$A$2:$E$33,5,)</f>
        <v>1955265.5768801342</v>
      </c>
    </row>
    <row r="31" spans="1:3" x14ac:dyDescent="0.2">
      <c r="A31" s="40" t="s">
        <v>22</v>
      </c>
      <c r="B31" s="41">
        <v>926649.79083866044</v>
      </c>
      <c r="C31">
        <f>VLOOKUP(A31,'Direct Costs Allocation'!$A$2:$E$33,5,)</f>
        <v>930825.20710306522</v>
      </c>
    </row>
    <row r="32" spans="1:3" x14ac:dyDescent="0.2">
      <c r="A32" s="40" t="s">
        <v>23</v>
      </c>
      <c r="B32" s="41">
        <v>405298.67247664661</v>
      </c>
      <c r="C32">
        <f>VLOOKUP(A32,'Direct Costs Allocation'!$A$2:$E$33,5,)</f>
        <v>408909.37743971258</v>
      </c>
    </row>
    <row r="33" spans="1:3" x14ac:dyDescent="0.2">
      <c r="A33" s="40" t="s">
        <v>24</v>
      </c>
      <c r="B33" s="41">
        <v>537922.7321808358</v>
      </c>
      <c r="C33">
        <f>VLOOKUP(A33,'Direct Costs Allocation'!$A$2:$E$33,5,)</f>
        <v>545092.43162443233</v>
      </c>
    </row>
    <row r="34" spans="1:3" x14ac:dyDescent="0.2">
      <c r="A34" s="40" t="s">
        <v>25</v>
      </c>
      <c r="B34" s="41">
        <v>726180.72609104274</v>
      </c>
      <c r="C34">
        <f>VLOOKUP(A34,'Direct Costs Allocation'!$A$2:$E$33,5,)</f>
        <v>747441.94242618652</v>
      </c>
    </row>
    <row r="35" spans="1:3" x14ac:dyDescent="0.2">
      <c r="A35" s="40" t="s">
        <v>26</v>
      </c>
      <c r="B35" s="41">
        <v>753147.91646821122</v>
      </c>
      <c r="C35">
        <f>VLOOKUP(A35,'Direct Costs Allocation'!$A$2:$E$33,5,)</f>
        <v>754040.12749227416</v>
      </c>
    </row>
    <row r="36" spans="1:3" x14ac:dyDescent="0.2">
      <c r="A36" s="40" t="s">
        <v>27</v>
      </c>
      <c r="B36" s="41">
        <v>450295.44619055244</v>
      </c>
      <c r="C36">
        <f>VLOOKUP(A36,'Direct Costs Allocation'!$A$2:$E$33,5,)</f>
        <v>455390.15992225293</v>
      </c>
    </row>
    <row r="37" spans="1:3" x14ac:dyDescent="0.2">
      <c r="A37" s="40" t="s">
        <v>42</v>
      </c>
      <c r="B37" s="41">
        <v>25905360.832128339</v>
      </c>
      <c r="C37" t="e">
        <f>VLOOKUP(A37,'Direct Costs Allocation'!$A$2:$E$33,5,)</f>
        <v>#N/A</v>
      </c>
    </row>
    <row r="38" spans="1:3" x14ac:dyDescent="0.2">
      <c r="A38" s="40" t="s">
        <v>28</v>
      </c>
      <c r="B38" s="41">
        <v>295447.97127140401</v>
      </c>
      <c r="C38">
        <f>VLOOKUP(A38,'Direct Costs Allocation'!$A$2:$E$33,5,)</f>
        <v>295447.97127140401</v>
      </c>
    </row>
    <row r="39" spans="1:3" x14ac:dyDescent="0.2">
      <c r="A39" s="40" t="s">
        <v>114</v>
      </c>
      <c r="B39" s="41">
        <v>797760.41899999999</v>
      </c>
      <c r="C39" t="e">
        <f>VLOOKUP(A39,'Direct Costs Allocation'!$A$2:$E$33,5,)</f>
        <v>#N/A</v>
      </c>
    </row>
    <row r="40" spans="1:3" x14ac:dyDescent="0.2">
      <c r="A40" s="40" t="s">
        <v>39</v>
      </c>
      <c r="B40" s="41">
        <v>12945.229591069725</v>
      </c>
      <c r="C40">
        <f>VLOOKUP(A40,'Direct Costs Allocation'!$A$2:$E$33,5,)</f>
        <v>14205.159602050915</v>
      </c>
    </row>
    <row r="41" spans="1:3" x14ac:dyDescent="0.2">
      <c r="A41" s="40" t="s">
        <v>34</v>
      </c>
      <c r="B41" s="41">
        <v>426638.02128136525</v>
      </c>
      <c r="C41">
        <f>VLOOKUP(A41,'Direct Costs Allocation'!$A$2:$E$33,5,)</f>
        <v>426638.02128136525</v>
      </c>
    </row>
    <row r="42" spans="1:3" x14ac:dyDescent="0.2">
      <c r="A42" s="40" t="s">
        <v>93</v>
      </c>
      <c r="B42" s="41">
        <v>1883606.6696007075</v>
      </c>
      <c r="C42" t="e">
        <f>VLOOKUP(A42,'Direct Costs Allocation'!$A$2:$E$33,5,)</f>
        <v>#N/A</v>
      </c>
    </row>
    <row r="43" spans="1:3" x14ac:dyDescent="0.2">
      <c r="A43" s="40" t="s">
        <v>337</v>
      </c>
      <c r="B43" s="41">
        <v>6751172.7398926476</v>
      </c>
    </row>
    <row r="44" spans="1:3" x14ac:dyDescent="0.2">
      <c r="A44" s="40" t="s">
        <v>338</v>
      </c>
      <c r="B44" s="41">
        <v>3100858.1606013379</v>
      </c>
      <c r="C44" t="e">
        <f>VLOOKUP(A44,'Direct Costs Allocation'!$A$2:$E$33,5,)</f>
        <v>#N/A</v>
      </c>
    </row>
    <row r="45" spans="1:3" x14ac:dyDescent="0.2">
      <c r="A45" s="40" t="s">
        <v>29</v>
      </c>
      <c r="B45" s="41">
        <v>143419274.81000003</v>
      </c>
    </row>
  </sheetData>
  <autoFilter ref="A3:C45" xr:uid="{A4CBB6D3-4002-1A44-830A-FE93F450A93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D4E-11B0-224F-BA14-2550308A3059}">
  <sheetPr>
    <tabColor rgb="FF00B050"/>
  </sheetPr>
  <dimension ref="A1:K227"/>
  <sheetViews>
    <sheetView topLeftCell="A95" zoomScale="119" zoomScaleNormal="120" workbookViewId="0">
      <selection activeCell="G237" sqref="G237"/>
    </sheetView>
  </sheetViews>
  <sheetFormatPr baseColWidth="10" defaultColWidth="8.83203125" defaultRowHeight="16" x14ac:dyDescent="0.2"/>
  <cols>
    <col min="1" max="3" width="8.5" style="37" customWidth="1"/>
    <col min="4" max="4" width="22.5" style="21" customWidth="1"/>
    <col min="5" max="7" width="14.5" style="21" customWidth="1"/>
    <col min="8" max="8" width="30.1640625" style="44" customWidth="1"/>
    <col min="9" max="9" width="14.5" style="44" customWidth="1"/>
    <col min="10" max="16384" width="8.83203125" style="21"/>
  </cols>
  <sheetData>
    <row r="1" spans="1:11" ht="41" customHeight="1" x14ac:dyDescent="0.2">
      <c r="A1" s="18" t="s">
        <v>78</v>
      </c>
      <c r="B1" s="18" t="s">
        <v>79</v>
      </c>
      <c r="C1" s="18" t="s">
        <v>80</v>
      </c>
      <c r="D1" s="19" t="s">
        <v>81</v>
      </c>
      <c r="E1" s="19" t="s">
        <v>49</v>
      </c>
      <c r="F1" s="19" t="s">
        <v>82</v>
      </c>
      <c r="G1" s="19" t="s">
        <v>83</v>
      </c>
      <c r="H1" s="43" t="s">
        <v>84</v>
      </c>
      <c r="I1" s="20" t="s">
        <v>85</v>
      </c>
      <c r="K1" s="22"/>
    </row>
    <row r="2" spans="1:11" ht="15" customHeight="1" x14ac:dyDescent="0.2">
      <c r="A2" s="23">
        <v>123565</v>
      </c>
      <c r="B2" s="23">
        <v>1</v>
      </c>
      <c r="C2" s="23" t="s">
        <v>88</v>
      </c>
      <c r="D2" s="24" t="s">
        <v>89</v>
      </c>
      <c r="E2" s="24" t="s">
        <v>90</v>
      </c>
      <c r="F2" s="24"/>
      <c r="G2" s="24"/>
      <c r="H2" s="21" t="s">
        <v>42</v>
      </c>
      <c r="I2" s="20">
        <v>20045.124475353117</v>
      </c>
      <c r="K2" s="22"/>
    </row>
    <row r="3" spans="1:11" ht="16" customHeight="1" x14ac:dyDescent="0.2">
      <c r="A3" s="23">
        <v>211205</v>
      </c>
      <c r="B3" s="23">
        <v>1</v>
      </c>
      <c r="C3" s="23" t="s">
        <v>88</v>
      </c>
      <c r="D3" s="24" t="s">
        <v>92</v>
      </c>
      <c r="E3" s="24" t="s">
        <v>90</v>
      </c>
      <c r="F3" s="24"/>
      <c r="G3" s="24"/>
      <c r="H3" s="21" t="s">
        <v>93</v>
      </c>
      <c r="I3" s="20">
        <v>173906.5358476782</v>
      </c>
      <c r="K3" s="22"/>
    </row>
    <row r="4" spans="1:11" x14ac:dyDescent="0.2">
      <c r="A4" s="23">
        <v>211206</v>
      </c>
      <c r="B4" s="23">
        <v>1</v>
      </c>
      <c r="C4" s="23" t="s">
        <v>88</v>
      </c>
      <c r="D4" s="24" t="s">
        <v>94</v>
      </c>
      <c r="E4" s="24" t="s">
        <v>90</v>
      </c>
      <c r="F4" s="24"/>
      <c r="G4" s="24"/>
      <c r="H4" s="44">
        <v>0</v>
      </c>
      <c r="I4" s="20">
        <v>0</v>
      </c>
      <c r="K4" s="22"/>
    </row>
    <row r="5" spans="1:11" x14ac:dyDescent="0.2">
      <c r="A5" s="23">
        <v>211210</v>
      </c>
      <c r="B5" s="23">
        <v>1</v>
      </c>
      <c r="C5" s="23" t="s">
        <v>88</v>
      </c>
      <c r="D5" s="24" t="s">
        <v>95</v>
      </c>
      <c r="E5" s="24" t="s">
        <v>7</v>
      </c>
      <c r="F5" s="24" t="s">
        <v>96</v>
      </c>
      <c r="G5" s="24" t="s">
        <v>97</v>
      </c>
      <c r="H5" s="21" t="s">
        <v>331</v>
      </c>
      <c r="I5" s="20">
        <v>473.24</v>
      </c>
      <c r="K5" s="22"/>
    </row>
    <row r="6" spans="1:11" x14ac:dyDescent="0.2">
      <c r="A6" s="23">
        <v>211211</v>
      </c>
      <c r="B6" s="23">
        <v>1</v>
      </c>
      <c r="C6" s="23" t="s">
        <v>88</v>
      </c>
      <c r="D6" s="24" t="s">
        <v>98</v>
      </c>
      <c r="E6" s="24" t="s">
        <v>7</v>
      </c>
      <c r="F6" s="24" t="s">
        <v>96</v>
      </c>
      <c r="G6" s="24" t="s">
        <v>97</v>
      </c>
      <c r="H6" s="44">
        <v>0</v>
      </c>
      <c r="I6" s="20">
        <v>0</v>
      </c>
      <c r="K6" s="22"/>
    </row>
    <row r="7" spans="1:11" x14ac:dyDescent="0.2">
      <c r="A7" s="23">
        <v>211212</v>
      </c>
      <c r="B7" s="23">
        <v>1</v>
      </c>
      <c r="C7" s="23" t="s">
        <v>88</v>
      </c>
      <c r="D7" s="24" t="s">
        <v>101</v>
      </c>
      <c r="E7" s="24" t="s">
        <v>7</v>
      </c>
      <c r="F7" s="24" t="s">
        <v>96</v>
      </c>
      <c r="G7" s="24" t="s">
        <v>97</v>
      </c>
      <c r="H7" s="44">
        <v>0</v>
      </c>
      <c r="I7" s="20">
        <v>0</v>
      </c>
      <c r="K7" s="22"/>
    </row>
    <row r="8" spans="1:11" x14ac:dyDescent="0.2">
      <c r="A8" s="23">
        <v>211213</v>
      </c>
      <c r="B8" s="23">
        <v>1</v>
      </c>
      <c r="C8" s="23" t="s">
        <v>88</v>
      </c>
      <c r="D8" s="24" t="s">
        <v>104</v>
      </c>
      <c r="E8" s="24" t="s">
        <v>7</v>
      </c>
      <c r="F8" s="24" t="s">
        <v>96</v>
      </c>
      <c r="G8" s="24" t="s">
        <v>97</v>
      </c>
      <c r="H8" s="44">
        <v>0</v>
      </c>
      <c r="I8" s="20">
        <v>0</v>
      </c>
      <c r="K8" s="22"/>
    </row>
    <row r="9" spans="1:11" x14ac:dyDescent="0.2">
      <c r="A9" s="23">
        <v>211214</v>
      </c>
      <c r="B9" s="23">
        <v>1</v>
      </c>
      <c r="C9" s="23" t="s">
        <v>88</v>
      </c>
      <c r="D9" s="24" t="s">
        <v>106</v>
      </c>
      <c r="E9" s="24" t="s">
        <v>7</v>
      </c>
      <c r="F9" s="24" t="s">
        <v>96</v>
      </c>
      <c r="G9" s="24" t="s">
        <v>107</v>
      </c>
      <c r="H9" s="21" t="s">
        <v>331</v>
      </c>
      <c r="I9" s="20">
        <v>510.39</v>
      </c>
      <c r="K9" s="22"/>
    </row>
    <row r="10" spans="1:11" x14ac:dyDescent="0.2">
      <c r="A10" s="23">
        <v>211215</v>
      </c>
      <c r="B10" s="23">
        <v>1</v>
      </c>
      <c r="C10" s="23" t="s">
        <v>88</v>
      </c>
      <c r="D10" s="24" t="s">
        <v>109</v>
      </c>
      <c r="E10" s="24" t="s">
        <v>7</v>
      </c>
      <c r="F10" s="24" t="s">
        <v>96</v>
      </c>
      <c r="G10" s="24" t="s">
        <v>97</v>
      </c>
      <c r="H10" s="44">
        <v>0</v>
      </c>
      <c r="I10" s="20">
        <v>0</v>
      </c>
      <c r="K10" s="22"/>
    </row>
    <row r="11" spans="1:11" x14ac:dyDescent="0.2">
      <c r="A11" s="23">
        <v>211216</v>
      </c>
      <c r="B11" s="23">
        <v>1</v>
      </c>
      <c r="C11" s="23" t="s">
        <v>88</v>
      </c>
      <c r="D11" s="24" t="s">
        <v>110</v>
      </c>
      <c r="E11" s="24" t="s">
        <v>7</v>
      </c>
      <c r="F11" s="24" t="s">
        <v>96</v>
      </c>
      <c r="G11" s="24" t="s">
        <v>97</v>
      </c>
      <c r="H11" s="44">
        <v>0</v>
      </c>
      <c r="I11" s="20">
        <v>0</v>
      </c>
      <c r="K11" s="22"/>
    </row>
    <row r="12" spans="1:11" x14ac:dyDescent="0.2">
      <c r="A12" s="23">
        <v>211217</v>
      </c>
      <c r="B12" s="23">
        <v>1</v>
      </c>
      <c r="C12" s="23" t="s">
        <v>88</v>
      </c>
      <c r="D12" s="24" t="s">
        <v>113</v>
      </c>
      <c r="E12" s="24" t="s">
        <v>7</v>
      </c>
      <c r="F12" s="24" t="s">
        <v>96</v>
      </c>
      <c r="G12" s="24" t="s">
        <v>97</v>
      </c>
      <c r="H12" s="44">
        <v>0</v>
      </c>
      <c r="I12" s="20">
        <v>0</v>
      </c>
      <c r="K12" s="22"/>
    </row>
    <row r="13" spans="1:11" x14ac:dyDescent="0.2">
      <c r="A13" s="23">
        <v>211218</v>
      </c>
      <c r="B13" s="23">
        <v>1</v>
      </c>
      <c r="C13" s="23" t="s">
        <v>88</v>
      </c>
      <c r="D13" s="24" t="s">
        <v>115</v>
      </c>
      <c r="E13" s="24" t="s">
        <v>7</v>
      </c>
      <c r="F13" s="24" t="s">
        <v>96</v>
      </c>
      <c r="G13" s="24" t="s">
        <v>97</v>
      </c>
      <c r="H13" s="44">
        <v>0</v>
      </c>
      <c r="I13" s="20">
        <v>0</v>
      </c>
      <c r="K13" s="22"/>
    </row>
    <row r="14" spans="1:11" x14ac:dyDescent="0.2">
      <c r="A14" s="23">
        <v>211219</v>
      </c>
      <c r="B14" s="23">
        <v>1</v>
      </c>
      <c r="C14" s="23" t="s">
        <v>88</v>
      </c>
      <c r="D14" s="24" t="s">
        <v>116</v>
      </c>
      <c r="E14" s="24" t="s">
        <v>7</v>
      </c>
      <c r="F14" s="24" t="s">
        <v>96</v>
      </c>
      <c r="G14" s="24" t="s">
        <v>107</v>
      </c>
      <c r="H14" s="21" t="s">
        <v>331</v>
      </c>
      <c r="I14" s="20">
        <v>3136</v>
      </c>
      <c r="K14" s="22"/>
    </row>
    <row r="15" spans="1:11" x14ac:dyDescent="0.2">
      <c r="A15" s="23">
        <v>211220</v>
      </c>
      <c r="B15" s="23">
        <v>1</v>
      </c>
      <c r="C15" s="23" t="s">
        <v>88</v>
      </c>
      <c r="D15" s="24" t="s">
        <v>118</v>
      </c>
      <c r="E15" s="24" t="s">
        <v>7</v>
      </c>
      <c r="F15" s="24" t="s">
        <v>96</v>
      </c>
      <c r="G15" s="24" t="s">
        <v>107</v>
      </c>
      <c r="H15" s="21" t="s">
        <v>331</v>
      </c>
      <c r="I15" s="20">
        <v>1306.72</v>
      </c>
      <c r="K15" s="22"/>
    </row>
    <row r="16" spans="1:11" x14ac:dyDescent="0.2">
      <c r="A16" s="23">
        <v>211225</v>
      </c>
      <c r="B16" s="23">
        <v>1</v>
      </c>
      <c r="C16" s="23" t="s">
        <v>88</v>
      </c>
      <c r="D16" s="24" t="s">
        <v>119</v>
      </c>
      <c r="E16" s="24" t="s">
        <v>7</v>
      </c>
      <c r="F16" s="24" t="s">
        <v>96</v>
      </c>
      <c r="G16" s="24" t="s">
        <v>107</v>
      </c>
      <c r="H16" s="44">
        <v>0</v>
      </c>
      <c r="I16" s="20">
        <v>0</v>
      </c>
      <c r="K16" s="22"/>
    </row>
    <row r="17" spans="1:11" x14ac:dyDescent="0.2">
      <c r="A17" s="23">
        <v>211230</v>
      </c>
      <c r="B17" s="23">
        <v>1</v>
      </c>
      <c r="C17" s="23" t="s">
        <v>88</v>
      </c>
      <c r="D17" s="24" t="s">
        <v>120</v>
      </c>
      <c r="E17" s="24" t="s">
        <v>7</v>
      </c>
      <c r="F17" s="24" t="s">
        <v>121</v>
      </c>
      <c r="G17" s="24" t="s">
        <v>107</v>
      </c>
      <c r="H17" s="44">
        <v>0</v>
      </c>
      <c r="I17" s="20">
        <v>0</v>
      </c>
      <c r="K17" s="22"/>
    </row>
    <row r="18" spans="1:11" ht="13" customHeight="1" x14ac:dyDescent="0.2">
      <c r="A18" s="23">
        <v>211235</v>
      </c>
      <c r="B18" s="23">
        <v>1</v>
      </c>
      <c r="C18" s="23" t="s">
        <v>88</v>
      </c>
      <c r="D18" s="24" t="s">
        <v>122</v>
      </c>
      <c r="E18" s="24" t="s">
        <v>91</v>
      </c>
      <c r="F18" s="24" t="s">
        <v>112</v>
      </c>
      <c r="G18" s="24" t="s">
        <v>123</v>
      </c>
      <c r="H18" s="21" t="s">
        <v>102</v>
      </c>
      <c r="I18" s="20">
        <v>176953.68077159475</v>
      </c>
      <c r="K18" s="22"/>
    </row>
    <row r="19" spans="1:11" x14ac:dyDescent="0.2">
      <c r="A19" s="23">
        <v>211240</v>
      </c>
      <c r="B19" s="23">
        <v>1</v>
      </c>
      <c r="C19" s="23" t="s">
        <v>88</v>
      </c>
      <c r="D19" s="24" t="s">
        <v>124</v>
      </c>
      <c r="E19" s="24" t="s">
        <v>90</v>
      </c>
      <c r="F19" s="24"/>
      <c r="G19" s="24"/>
      <c r="H19" s="44">
        <v>0</v>
      </c>
      <c r="I19" s="20">
        <v>0</v>
      </c>
    </row>
    <row r="20" spans="1:11" x14ac:dyDescent="0.2">
      <c r="A20" s="23">
        <v>211281</v>
      </c>
      <c r="B20" s="23">
        <v>1</v>
      </c>
      <c r="C20" s="23" t="s">
        <v>88</v>
      </c>
      <c r="D20" s="24" t="s">
        <v>125</v>
      </c>
      <c r="E20" s="24" t="s">
        <v>114</v>
      </c>
      <c r="F20" s="24" t="s">
        <v>112</v>
      </c>
      <c r="G20" s="24" t="s">
        <v>114</v>
      </c>
      <c r="H20" s="21" t="s">
        <v>114</v>
      </c>
      <c r="I20" s="20">
        <v>797760.41899999999</v>
      </c>
    </row>
    <row r="21" spans="1:11" x14ac:dyDescent="0.2">
      <c r="A21" s="23">
        <v>211301</v>
      </c>
      <c r="B21" s="23">
        <v>1</v>
      </c>
      <c r="C21" s="23" t="s">
        <v>88</v>
      </c>
      <c r="D21" s="24" t="s">
        <v>126</v>
      </c>
      <c r="E21" s="24" t="s">
        <v>7</v>
      </c>
      <c r="F21" s="24" t="s">
        <v>96</v>
      </c>
      <c r="G21" s="24" t="s">
        <v>107</v>
      </c>
      <c r="H21" s="21" t="s">
        <v>331</v>
      </c>
      <c r="I21" s="20">
        <v>5171.8547955348622</v>
      </c>
    </row>
    <row r="22" spans="1:11" s="25" customFormat="1" x14ac:dyDescent="0.2">
      <c r="A22" s="23">
        <v>211302</v>
      </c>
      <c r="B22" s="23">
        <v>1</v>
      </c>
      <c r="C22" s="23" t="s">
        <v>88</v>
      </c>
      <c r="D22" s="24" t="s">
        <v>23</v>
      </c>
      <c r="E22" s="24" t="s">
        <v>7</v>
      </c>
      <c r="F22" s="24" t="s">
        <v>23</v>
      </c>
      <c r="G22" s="24"/>
      <c r="H22" s="21" t="s">
        <v>23</v>
      </c>
      <c r="I22" s="20">
        <v>405298.67247664661</v>
      </c>
    </row>
    <row r="23" spans="1:11" ht="16" customHeight="1" x14ac:dyDescent="0.2">
      <c r="A23" s="26">
        <v>211305</v>
      </c>
      <c r="B23" s="26">
        <v>1</v>
      </c>
      <c r="C23" s="26" t="s">
        <v>88</v>
      </c>
      <c r="D23" s="27" t="s">
        <v>92</v>
      </c>
      <c r="E23" s="27" t="s">
        <v>90</v>
      </c>
      <c r="F23" s="27" t="s">
        <v>112</v>
      </c>
      <c r="G23" s="27" t="s">
        <v>127</v>
      </c>
      <c r="H23" s="21" t="s">
        <v>93</v>
      </c>
      <c r="I23" s="28">
        <v>49352.052726485665</v>
      </c>
    </row>
    <row r="24" spans="1:11" x14ac:dyDescent="0.2">
      <c r="A24" s="23">
        <v>211306</v>
      </c>
      <c r="B24" s="23">
        <v>1</v>
      </c>
      <c r="C24" s="23" t="s">
        <v>88</v>
      </c>
      <c r="D24" s="24" t="s">
        <v>128</v>
      </c>
      <c r="E24" s="24" t="s">
        <v>7</v>
      </c>
      <c r="F24" s="24" t="s">
        <v>96</v>
      </c>
      <c r="G24" s="24"/>
      <c r="H24" s="21" t="s">
        <v>331</v>
      </c>
      <c r="I24" s="20">
        <v>91850.931524092652</v>
      </c>
    </row>
    <row r="25" spans="1:11" x14ac:dyDescent="0.2">
      <c r="A25" s="23">
        <v>211307</v>
      </c>
      <c r="B25" s="23">
        <v>1</v>
      </c>
      <c r="C25" s="23" t="s">
        <v>88</v>
      </c>
      <c r="D25" s="24" t="s">
        <v>26</v>
      </c>
      <c r="E25" s="24" t="s">
        <v>7</v>
      </c>
      <c r="F25" s="24" t="s">
        <v>26</v>
      </c>
      <c r="G25" s="24"/>
      <c r="H25" s="21" t="s">
        <v>26</v>
      </c>
      <c r="I25" s="20">
        <v>753147.91646821122</v>
      </c>
    </row>
    <row r="26" spans="1:11" x14ac:dyDescent="0.2">
      <c r="A26" s="23">
        <v>211309</v>
      </c>
      <c r="B26" s="23">
        <v>1</v>
      </c>
      <c r="C26" s="23" t="s">
        <v>88</v>
      </c>
      <c r="D26" s="24" t="s">
        <v>6</v>
      </c>
      <c r="E26" s="24" t="s">
        <v>7</v>
      </c>
      <c r="F26" s="24" t="s">
        <v>6</v>
      </c>
      <c r="G26" s="24"/>
      <c r="H26" s="21" t="s">
        <v>6</v>
      </c>
      <c r="I26" s="20">
        <v>1085154.1090701092</v>
      </c>
    </row>
    <row r="27" spans="1:11" x14ac:dyDescent="0.2">
      <c r="A27" s="23">
        <v>211310</v>
      </c>
      <c r="B27" s="23">
        <v>1</v>
      </c>
      <c r="C27" s="23" t="s">
        <v>88</v>
      </c>
      <c r="D27" s="24" t="s">
        <v>129</v>
      </c>
      <c r="E27" s="24" t="s">
        <v>7</v>
      </c>
      <c r="F27" s="24" t="s">
        <v>18</v>
      </c>
      <c r="G27" s="24"/>
      <c r="H27" s="21" t="s">
        <v>129</v>
      </c>
      <c r="I27" s="20">
        <v>15352.330960545238</v>
      </c>
    </row>
    <row r="28" spans="1:11" x14ac:dyDescent="0.2">
      <c r="A28" s="23">
        <v>211311</v>
      </c>
      <c r="B28" s="23">
        <v>1</v>
      </c>
      <c r="C28" s="23" t="s">
        <v>88</v>
      </c>
      <c r="D28" s="24" t="s">
        <v>130</v>
      </c>
      <c r="E28" s="24" t="s">
        <v>7</v>
      </c>
      <c r="F28" s="24" t="s">
        <v>8</v>
      </c>
      <c r="G28" s="24"/>
      <c r="H28" s="21" t="s">
        <v>8</v>
      </c>
      <c r="I28" s="20">
        <v>737511.72447005089</v>
      </c>
    </row>
    <row r="29" spans="1:11" x14ac:dyDescent="0.2">
      <c r="A29" s="23">
        <v>211313</v>
      </c>
      <c r="B29" s="23">
        <v>1</v>
      </c>
      <c r="C29" s="23" t="s">
        <v>88</v>
      </c>
      <c r="D29" s="24" t="s">
        <v>30</v>
      </c>
      <c r="E29" s="24" t="s">
        <v>7</v>
      </c>
      <c r="F29" s="24" t="s">
        <v>18</v>
      </c>
      <c r="G29" s="24"/>
      <c r="H29" s="21" t="s">
        <v>30</v>
      </c>
      <c r="I29" s="20">
        <v>599122.3817431943</v>
      </c>
    </row>
    <row r="30" spans="1:11" x14ac:dyDescent="0.2">
      <c r="A30" s="23">
        <v>211314</v>
      </c>
      <c r="B30" s="23">
        <v>1</v>
      </c>
      <c r="C30" s="23" t="s">
        <v>88</v>
      </c>
      <c r="D30" s="24" t="s">
        <v>131</v>
      </c>
      <c r="E30" s="24" t="s">
        <v>112</v>
      </c>
      <c r="F30" s="24" t="s">
        <v>112</v>
      </c>
      <c r="G30" s="24" t="s">
        <v>132</v>
      </c>
      <c r="H30" s="44">
        <v>0</v>
      </c>
      <c r="I30" s="20">
        <v>0</v>
      </c>
    </row>
    <row r="31" spans="1:11" x14ac:dyDescent="0.2">
      <c r="A31" s="23">
        <v>211315</v>
      </c>
      <c r="B31" s="23">
        <v>1</v>
      </c>
      <c r="C31" s="23" t="s">
        <v>88</v>
      </c>
      <c r="D31" s="24" t="s">
        <v>39</v>
      </c>
      <c r="E31" s="24" t="s">
        <v>7</v>
      </c>
      <c r="F31" s="24" t="s">
        <v>96</v>
      </c>
      <c r="G31" s="24"/>
      <c r="H31" s="21" t="s">
        <v>39</v>
      </c>
      <c r="I31" s="20">
        <v>12945.229591069725</v>
      </c>
    </row>
    <row r="32" spans="1:11" x14ac:dyDescent="0.2">
      <c r="A32" s="23">
        <v>211319</v>
      </c>
      <c r="B32" s="23">
        <v>1</v>
      </c>
      <c r="C32" s="23" t="s">
        <v>88</v>
      </c>
      <c r="D32" s="24" t="s">
        <v>15</v>
      </c>
      <c r="E32" s="24" t="s">
        <v>7</v>
      </c>
      <c r="F32" s="24" t="s">
        <v>15</v>
      </c>
      <c r="G32" s="24"/>
      <c r="H32" s="21" t="str">
        <f>D32</f>
        <v>English</v>
      </c>
      <c r="I32" s="20">
        <v>1124268.4891454601</v>
      </c>
    </row>
    <row r="33" spans="1:9" x14ac:dyDescent="0.2">
      <c r="A33" s="23">
        <v>211320</v>
      </c>
      <c r="B33" s="23">
        <v>1</v>
      </c>
      <c r="C33" s="23" t="s">
        <v>88</v>
      </c>
      <c r="D33" s="24" t="s">
        <v>133</v>
      </c>
      <c r="E33" s="24" t="s">
        <v>112</v>
      </c>
      <c r="F33" s="24" t="s">
        <v>112</v>
      </c>
      <c r="G33" s="24" t="s">
        <v>132</v>
      </c>
      <c r="H33" s="44">
        <v>0</v>
      </c>
      <c r="I33" s="20">
        <v>0</v>
      </c>
    </row>
    <row r="34" spans="1:9" x14ac:dyDescent="0.2">
      <c r="A34" s="23">
        <v>211321</v>
      </c>
      <c r="B34" s="23">
        <v>1</v>
      </c>
      <c r="C34" s="23" t="s">
        <v>88</v>
      </c>
      <c r="D34" s="24" t="s">
        <v>134</v>
      </c>
      <c r="E34" s="24" t="s">
        <v>112</v>
      </c>
      <c r="F34" s="24" t="s">
        <v>112</v>
      </c>
      <c r="G34" s="24" t="s">
        <v>132</v>
      </c>
      <c r="H34" s="44">
        <v>0</v>
      </c>
      <c r="I34" s="20">
        <v>0</v>
      </c>
    </row>
    <row r="35" spans="1:9" x14ac:dyDescent="0.2">
      <c r="A35" s="23">
        <v>211325</v>
      </c>
      <c r="B35" s="23">
        <v>1</v>
      </c>
      <c r="C35" s="23" t="s">
        <v>88</v>
      </c>
      <c r="D35" s="24" t="s">
        <v>32</v>
      </c>
      <c r="E35" s="24" t="s">
        <v>7</v>
      </c>
      <c r="F35" s="24" t="s">
        <v>32</v>
      </c>
      <c r="G35" s="24"/>
      <c r="H35" s="21" t="s">
        <v>32</v>
      </c>
      <c r="I35" s="20">
        <v>747321.56990285963</v>
      </c>
    </row>
    <row r="36" spans="1:9" x14ac:dyDescent="0.2">
      <c r="A36" s="23">
        <v>211334</v>
      </c>
      <c r="B36" s="23">
        <v>1</v>
      </c>
      <c r="C36" s="23" t="s">
        <v>88</v>
      </c>
      <c r="D36" s="24" t="s">
        <v>135</v>
      </c>
      <c r="E36" s="24" t="s">
        <v>112</v>
      </c>
      <c r="F36" s="24" t="s">
        <v>112</v>
      </c>
      <c r="G36" s="24" t="s">
        <v>132</v>
      </c>
      <c r="H36" s="44">
        <v>0</v>
      </c>
      <c r="I36" s="20">
        <v>0</v>
      </c>
    </row>
    <row r="37" spans="1:9" x14ac:dyDescent="0.2">
      <c r="A37" s="23">
        <v>211335</v>
      </c>
      <c r="B37" s="23">
        <v>4</v>
      </c>
      <c r="C37" s="23" t="s">
        <v>136</v>
      </c>
      <c r="D37" s="24" t="s">
        <v>137</v>
      </c>
      <c r="E37" s="24" t="s">
        <v>7</v>
      </c>
      <c r="F37" s="24" t="s">
        <v>96</v>
      </c>
      <c r="G37" s="24" t="s">
        <v>97</v>
      </c>
      <c r="H37" s="44">
        <v>0</v>
      </c>
      <c r="I37" s="20">
        <v>0</v>
      </c>
    </row>
    <row r="38" spans="1:9" x14ac:dyDescent="0.2">
      <c r="A38" s="23">
        <v>211350</v>
      </c>
      <c r="B38" s="23">
        <v>1</v>
      </c>
      <c r="C38" s="23" t="s">
        <v>88</v>
      </c>
      <c r="D38" s="24" t="s">
        <v>17</v>
      </c>
      <c r="E38" s="24" t="s">
        <v>7</v>
      </c>
      <c r="F38" s="24" t="s">
        <v>17</v>
      </c>
      <c r="G38" s="24"/>
      <c r="H38" s="21" t="s">
        <v>17</v>
      </c>
      <c r="I38" s="20">
        <v>882735.4580111953</v>
      </c>
    </row>
    <row r="39" spans="1:9" x14ac:dyDescent="0.2">
      <c r="A39" s="23">
        <v>211356</v>
      </c>
      <c r="B39" s="23">
        <v>1</v>
      </c>
      <c r="C39" s="23" t="s">
        <v>88</v>
      </c>
      <c r="D39" s="24" t="s">
        <v>22</v>
      </c>
      <c r="E39" s="24" t="s">
        <v>7</v>
      </c>
      <c r="F39" s="24" t="s">
        <v>22</v>
      </c>
      <c r="G39" s="24"/>
      <c r="H39" s="21" t="str">
        <f t="shared" ref="H39:H42" si="0">D39</f>
        <v>Philosophy</v>
      </c>
      <c r="I39" s="20">
        <v>926649.79083866044</v>
      </c>
    </row>
    <row r="40" spans="1:9" x14ac:dyDescent="0.2">
      <c r="A40" s="23">
        <v>211359</v>
      </c>
      <c r="B40" s="23">
        <v>1</v>
      </c>
      <c r="C40" s="23" t="s">
        <v>88</v>
      </c>
      <c r="D40" s="24" t="s">
        <v>25</v>
      </c>
      <c r="E40" s="24" t="s">
        <v>7</v>
      </c>
      <c r="F40" s="24" t="s">
        <v>25</v>
      </c>
      <c r="G40" s="24"/>
      <c r="H40" s="21" t="str">
        <f t="shared" si="0"/>
        <v>Psychology</v>
      </c>
      <c r="I40" s="20">
        <v>726180.72609104274</v>
      </c>
    </row>
    <row r="41" spans="1:9" x14ac:dyDescent="0.2">
      <c r="A41" s="23">
        <v>211362</v>
      </c>
      <c r="B41" s="23">
        <v>1</v>
      </c>
      <c r="C41" s="23" t="s">
        <v>88</v>
      </c>
      <c r="D41" s="24" t="s">
        <v>27</v>
      </c>
      <c r="E41" s="24" t="s">
        <v>7</v>
      </c>
      <c r="F41" s="24" t="s">
        <v>27</v>
      </c>
      <c r="G41" s="24"/>
      <c r="H41" s="21" t="str">
        <f t="shared" si="0"/>
        <v>Sociology</v>
      </c>
      <c r="I41" s="20">
        <v>450295.44619055244</v>
      </c>
    </row>
    <row r="42" spans="1:9" x14ac:dyDescent="0.2">
      <c r="A42" s="23">
        <v>211366</v>
      </c>
      <c r="B42" s="23">
        <v>1</v>
      </c>
      <c r="C42" s="23" t="s">
        <v>88</v>
      </c>
      <c r="D42" s="24" t="s">
        <v>138</v>
      </c>
      <c r="E42" s="24" t="s">
        <v>11</v>
      </c>
      <c r="F42" s="24" t="s">
        <v>138</v>
      </c>
      <c r="G42" s="24"/>
      <c r="H42" s="21" t="str">
        <f t="shared" si="0"/>
        <v>LIM</v>
      </c>
      <c r="I42" s="20">
        <v>455874.25279219379</v>
      </c>
    </row>
    <row r="43" spans="1:9" x14ac:dyDescent="0.2">
      <c r="A43" s="23">
        <v>211367</v>
      </c>
      <c r="B43" s="23">
        <v>1</v>
      </c>
      <c r="C43" s="23" t="s">
        <v>88</v>
      </c>
      <c r="D43" s="24" t="s">
        <v>139</v>
      </c>
      <c r="E43" s="24" t="s">
        <v>11</v>
      </c>
      <c r="F43" s="24" t="s">
        <v>138</v>
      </c>
      <c r="G43" s="24"/>
      <c r="H43" s="44">
        <v>0</v>
      </c>
      <c r="I43" s="20">
        <v>0</v>
      </c>
    </row>
    <row r="44" spans="1:9" x14ac:dyDescent="0.2">
      <c r="A44" s="23">
        <v>211371</v>
      </c>
      <c r="B44" s="23">
        <v>1</v>
      </c>
      <c r="C44" s="23" t="s">
        <v>88</v>
      </c>
      <c r="D44" s="24" t="s">
        <v>140</v>
      </c>
      <c r="E44" s="24" t="s">
        <v>11</v>
      </c>
      <c r="F44" s="24" t="s">
        <v>33</v>
      </c>
      <c r="G44" s="24"/>
      <c r="H44" s="21" t="str">
        <f>F44</f>
        <v>Nursing</v>
      </c>
      <c r="I44" s="20">
        <v>53154.72148230212</v>
      </c>
    </row>
    <row r="45" spans="1:9" x14ac:dyDescent="0.2">
      <c r="A45" s="23">
        <v>211372</v>
      </c>
      <c r="B45" s="23">
        <v>1</v>
      </c>
      <c r="C45" s="23" t="s">
        <v>88</v>
      </c>
      <c r="D45" s="24" t="s">
        <v>141</v>
      </c>
      <c r="E45" s="24" t="s">
        <v>11</v>
      </c>
      <c r="F45" s="24" t="s">
        <v>33</v>
      </c>
      <c r="G45" s="24"/>
      <c r="H45" s="21" t="str">
        <f t="shared" ref="H45:H47" si="1">F45</f>
        <v>Nursing</v>
      </c>
      <c r="I45" s="20">
        <v>41430.949117069606</v>
      </c>
    </row>
    <row r="46" spans="1:9" x14ac:dyDescent="0.2">
      <c r="A46" s="23">
        <v>211373</v>
      </c>
      <c r="B46" s="23">
        <v>1</v>
      </c>
      <c r="C46" s="23" t="s">
        <v>88</v>
      </c>
      <c r="D46" s="24" t="s">
        <v>142</v>
      </c>
      <c r="E46" s="24" t="s">
        <v>11</v>
      </c>
      <c r="F46" s="24" t="s">
        <v>33</v>
      </c>
      <c r="G46" s="24"/>
      <c r="H46" s="21" t="str">
        <f t="shared" si="1"/>
        <v>Nursing</v>
      </c>
      <c r="I46" s="20">
        <v>3000</v>
      </c>
    </row>
    <row r="47" spans="1:9" x14ac:dyDescent="0.2">
      <c r="A47" s="23">
        <v>211374</v>
      </c>
      <c r="B47" s="23">
        <v>1</v>
      </c>
      <c r="C47" s="23" t="s">
        <v>88</v>
      </c>
      <c r="D47" s="24" t="s">
        <v>143</v>
      </c>
      <c r="E47" s="24" t="s">
        <v>11</v>
      </c>
      <c r="F47" s="24" t="s">
        <v>33</v>
      </c>
      <c r="G47" s="24"/>
      <c r="H47" s="21" t="str">
        <f t="shared" si="1"/>
        <v>Nursing</v>
      </c>
      <c r="I47" s="20">
        <v>1771018.2558951117</v>
      </c>
    </row>
    <row r="48" spans="1:9" x14ac:dyDescent="0.2">
      <c r="A48" s="23">
        <v>211375</v>
      </c>
      <c r="B48" s="23">
        <v>1</v>
      </c>
      <c r="C48" s="23" t="s">
        <v>88</v>
      </c>
      <c r="D48" s="24" t="s">
        <v>144</v>
      </c>
      <c r="E48" s="24" t="s">
        <v>13</v>
      </c>
      <c r="F48" s="24" t="s">
        <v>145</v>
      </c>
      <c r="G48" s="24"/>
      <c r="H48" s="21" t="s">
        <v>35</v>
      </c>
      <c r="I48" s="20">
        <v>906621.16904616472</v>
      </c>
    </row>
    <row r="49" spans="1:9" x14ac:dyDescent="0.2">
      <c r="A49" s="23">
        <v>211376</v>
      </c>
      <c r="B49" s="23">
        <v>1</v>
      </c>
      <c r="C49" s="23" t="s">
        <v>88</v>
      </c>
      <c r="D49" s="24" t="s">
        <v>146</v>
      </c>
      <c r="E49" s="24" t="s">
        <v>11</v>
      </c>
      <c r="F49" s="24" t="s">
        <v>33</v>
      </c>
      <c r="G49" s="24"/>
      <c r="H49" s="21" t="str">
        <f t="shared" ref="H49:H56" si="2">F49</f>
        <v>Nursing</v>
      </c>
      <c r="I49" s="20">
        <v>2795.1246236046445</v>
      </c>
    </row>
    <row r="50" spans="1:9" x14ac:dyDescent="0.2">
      <c r="A50" s="23">
        <v>211378</v>
      </c>
      <c r="B50" s="23">
        <v>1</v>
      </c>
      <c r="C50" s="23" t="s">
        <v>88</v>
      </c>
      <c r="D50" s="24" t="s">
        <v>147</v>
      </c>
      <c r="E50" s="24" t="s">
        <v>11</v>
      </c>
      <c r="F50" s="24" t="s">
        <v>33</v>
      </c>
      <c r="G50" s="24"/>
      <c r="H50" s="21" t="str">
        <f t="shared" si="2"/>
        <v>Nursing</v>
      </c>
      <c r="I50" s="20">
        <v>39201.953118023222</v>
      </c>
    </row>
    <row r="51" spans="1:9" x14ac:dyDescent="0.2">
      <c r="A51" s="23">
        <v>211379</v>
      </c>
      <c r="B51" s="23">
        <v>1</v>
      </c>
      <c r="C51" s="23" t="s">
        <v>88</v>
      </c>
      <c r="D51" s="24" t="s">
        <v>148</v>
      </c>
      <c r="E51" s="24" t="s">
        <v>11</v>
      </c>
      <c r="F51" s="24" t="s">
        <v>33</v>
      </c>
      <c r="G51" s="24"/>
      <c r="H51" s="21" t="str">
        <f t="shared" si="2"/>
        <v>Nursing</v>
      </c>
      <c r="I51" s="20">
        <v>44664.572644023108</v>
      </c>
    </row>
    <row r="52" spans="1:9" x14ac:dyDescent="0.2">
      <c r="A52" s="23">
        <v>211381</v>
      </c>
      <c r="B52" s="23">
        <v>1</v>
      </c>
      <c r="C52" s="23" t="s">
        <v>88</v>
      </c>
      <c r="D52" s="24" t="s">
        <v>24</v>
      </c>
      <c r="E52" s="24" t="s">
        <v>7</v>
      </c>
      <c r="F52" s="24" t="s">
        <v>24</v>
      </c>
      <c r="G52" s="24"/>
      <c r="H52" s="21" t="str">
        <f t="shared" si="2"/>
        <v>Political Science</v>
      </c>
      <c r="I52" s="20">
        <v>537922.7321808358</v>
      </c>
    </row>
    <row r="53" spans="1:9" x14ac:dyDescent="0.2">
      <c r="A53" s="23">
        <v>211382</v>
      </c>
      <c r="B53" s="23">
        <v>1</v>
      </c>
      <c r="C53" s="23" t="s">
        <v>88</v>
      </c>
      <c r="D53" s="24" t="s">
        <v>149</v>
      </c>
      <c r="E53" s="24" t="s">
        <v>13</v>
      </c>
      <c r="F53" s="24" t="s">
        <v>144</v>
      </c>
      <c r="G53" s="24"/>
      <c r="H53" s="21" t="s">
        <v>35</v>
      </c>
      <c r="I53" s="20">
        <v>99523.554794176234</v>
      </c>
    </row>
    <row r="54" spans="1:9" x14ac:dyDescent="0.2">
      <c r="A54" s="23">
        <v>211383</v>
      </c>
      <c r="B54" s="23">
        <v>1</v>
      </c>
      <c r="C54" s="23" t="s">
        <v>88</v>
      </c>
      <c r="D54" s="24" t="s">
        <v>10</v>
      </c>
      <c r="E54" s="24" t="s">
        <v>11</v>
      </c>
      <c r="F54" s="24" t="s">
        <v>10</v>
      </c>
      <c r="G54" s="24"/>
      <c r="H54" s="21" t="str">
        <f t="shared" si="2"/>
        <v>Counseling</v>
      </c>
      <c r="I54" s="20">
        <v>489769.469763931</v>
      </c>
    </row>
    <row r="55" spans="1:9" x14ac:dyDescent="0.2">
      <c r="A55" s="23">
        <v>211391</v>
      </c>
      <c r="B55" s="23">
        <v>1</v>
      </c>
      <c r="C55" s="23" t="s">
        <v>88</v>
      </c>
      <c r="D55" s="24" t="s">
        <v>37</v>
      </c>
      <c r="E55" s="24" t="s">
        <v>7</v>
      </c>
      <c r="F55" s="24" t="s">
        <v>37</v>
      </c>
      <c r="G55" s="24"/>
      <c r="H55" s="21" t="str">
        <f t="shared" si="2"/>
        <v>Criminal Justice</v>
      </c>
      <c r="I55" s="20">
        <v>484258.76469855488</v>
      </c>
    </row>
    <row r="56" spans="1:9" x14ac:dyDescent="0.2">
      <c r="A56" s="23">
        <v>211392</v>
      </c>
      <c r="B56" s="23">
        <v>1</v>
      </c>
      <c r="C56" s="23" t="s">
        <v>88</v>
      </c>
      <c r="D56" s="24" t="s">
        <v>150</v>
      </c>
      <c r="E56" s="24" t="s">
        <v>7</v>
      </c>
      <c r="F56" s="24" t="s">
        <v>37</v>
      </c>
      <c r="G56" s="24"/>
      <c r="H56" s="21" t="str">
        <f t="shared" si="2"/>
        <v>Criminal Justice</v>
      </c>
      <c r="I56" s="20">
        <v>7757.7821933022933</v>
      </c>
    </row>
    <row r="57" spans="1:9" x14ac:dyDescent="0.2">
      <c r="A57" s="23">
        <v>211402</v>
      </c>
      <c r="B57" s="23">
        <v>1</v>
      </c>
      <c r="C57" s="23" t="s">
        <v>88</v>
      </c>
      <c r="D57" s="24" t="s">
        <v>151</v>
      </c>
      <c r="E57" s="24" t="s">
        <v>100</v>
      </c>
      <c r="F57" s="24"/>
      <c r="G57" s="24" t="s">
        <v>152</v>
      </c>
      <c r="H57" s="21" t="s">
        <v>333</v>
      </c>
      <c r="I57" s="20">
        <v>2968048.1063718251</v>
      </c>
    </row>
    <row r="58" spans="1:9" x14ac:dyDescent="0.2">
      <c r="A58" s="23">
        <v>211410</v>
      </c>
      <c r="B58" s="23">
        <v>1</v>
      </c>
      <c r="C58" s="23" t="s">
        <v>88</v>
      </c>
      <c r="D58" s="24" t="s">
        <v>153</v>
      </c>
      <c r="E58" s="24" t="s">
        <v>100</v>
      </c>
      <c r="F58" s="24"/>
      <c r="G58" s="24"/>
      <c r="H58" s="44">
        <v>0</v>
      </c>
      <c r="I58" s="20">
        <v>0</v>
      </c>
    </row>
    <row r="59" spans="1:9" x14ac:dyDescent="0.2">
      <c r="A59" s="23">
        <v>211419</v>
      </c>
      <c r="B59" s="23">
        <v>1</v>
      </c>
      <c r="C59" s="23" t="s">
        <v>88</v>
      </c>
      <c r="D59" s="24" t="s">
        <v>154</v>
      </c>
      <c r="E59" s="24" t="s">
        <v>13</v>
      </c>
      <c r="F59" s="24" t="s">
        <v>28</v>
      </c>
      <c r="G59" s="24"/>
      <c r="H59" s="44">
        <v>0</v>
      </c>
      <c r="I59" s="20">
        <v>0</v>
      </c>
    </row>
    <row r="60" spans="1:9" x14ac:dyDescent="0.2">
      <c r="A60" s="23">
        <v>211420</v>
      </c>
      <c r="B60" s="23">
        <v>1</v>
      </c>
      <c r="C60" s="23" t="s">
        <v>88</v>
      </c>
      <c r="D60" s="24" t="s">
        <v>155</v>
      </c>
      <c r="E60" s="24" t="s">
        <v>13</v>
      </c>
      <c r="F60" s="24" t="s">
        <v>12</v>
      </c>
      <c r="G60" s="24"/>
      <c r="H60" s="21" t="str">
        <f t="shared" ref="H60:H72" si="3">F60</f>
        <v>Design</v>
      </c>
      <c r="I60" s="20">
        <v>395370.92963227344</v>
      </c>
    </row>
    <row r="61" spans="1:9" x14ac:dyDescent="0.2">
      <c r="A61" s="23">
        <v>211421</v>
      </c>
      <c r="B61" s="23">
        <v>1</v>
      </c>
      <c r="C61" s="23" t="s">
        <v>88</v>
      </c>
      <c r="D61" s="24" t="s">
        <v>156</v>
      </c>
      <c r="E61" s="24" t="s">
        <v>13</v>
      </c>
      <c r="F61" s="24" t="s">
        <v>21</v>
      </c>
      <c r="G61" s="24"/>
      <c r="H61" s="21" t="str">
        <f t="shared" si="3"/>
        <v>Music</v>
      </c>
      <c r="I61" s="20">
        <v>573.24092472092889</v>
      </c>
    </row>
    <row r="62" spans="1:9" x14ac:dyDescent="0.2">
      <c r="A62" s="23">
        <v>211422</v>
      </c>
      <c r="B62" s="23">
        <v>1</v>
      </c>
      <c r="C62" s="23" t="s">
        <v>88</v>
      </c>
      <c r="D62" s="24" t="s">
        <v>157</v>
      </c>
      <c r="E62" s="24" t="s">
        <v>13</v>
      </c>
      <c r="F62" s="24" t="s">
        <v>21</v>
      </c>
      <c r="G62" s="24"/>
      <c r="H62" s="21" t="str">
        <f t="shared" si="3"/>
        <v>Music</v>
      </c>
      <c r="I62" s="20">
        <v>2645200.2737844996</v>
      </c>
    </row>
    <row r="63" spans="1:9" x14ac:dyDescent="0.2">
      <c r="A63" s="23">
        <v>211423</v>
      </c>
      <c r="B63" s="23">
        <v>1</v>
      </c>
      <c r="C63" s="23" t="s">
        <v>88</v>
      </c>
      <c r="D63" s="24" t="s">
        <v>158</v>
      </c>
      <c r="E63" s="24" t="s">
        <v>13</v>
      </c>
      <c r="F63" s="24" t="s">
        <v>21</v>
      </c>
      <c r="G63" s="24"/>
      <c r="H63" s="21" t="str">
        <f t="shared" si="3"/>
        <v>Music</v>
      </c>
      <c r="I63" s="20">
        <v>1900</v>
      </c>
    </row>
    <row r="64" spans="1:9" x14ac:dyDescent="0.2">
      <c r="A64" s="23">
        <v>211424</v>
      </c>
      <c r="B64" s="23">
        <v>1</v>
      </c>
      <c r="C64" s="23" t="s">
        <v>88</v>
      </c>
      <c r="D64" s="24" t="s">
        <v>159</v>
      </c>
      <c r="E64" s="24" t="s">
        <v>13</v>
      </c>
      <c r="F64" s="24" t="s">
        <v>21</v>
      </c>
      <c r="G64" s="24"/>
      <c r="H64" s="21" t="str">
        <f t="shared" si="3"/>
        <v>Music</v>
      </c>
      <c r="I64" s="20">
        <v>3400</v>
      </c>
    </row>
    <row r="65" spans="1:9" x14ac:dyDescent="0.2">
      <c r="A65" s="23">
        <v>211425</v>
      </c>
      <c r="B65" s="23">
        <v>1</v>
      </c>
      <c r="C65" s="23" t="s">
        <v>88</v>
      </c>
      <c r="D65" s="24" t="s">
        <v>160</v>
      </c>
      <c r="E65" s="24" t="s">
        <v>13</v>
      </c>
      <c r="F65" s="24" t="s">
        <v>21</v>
      </c>
      <c r="G65" s="24"/>
      <c r="H65" s="21" t="str">
        <f t="shared" si="3"/>
        <v>Music</v>
      </c>
      <c r="I65" s="20">
        <v>1021.9722774162786</v>
      </c>
    </row>
    <row r="66" spans="1:9" x14ac:dyDescent="0.2">
      <c r="A66" s="23">
        <v>211426</v>
      </c>
      <c r="B66" s="23">
        <v>1</v>
      </c>
      <c r="C66" s="23" t="s">
        <v>88</v>
      </c>
      <c r="D66" s="24" t="s">
        <v>161</v>
      </c>
      <c r="E66" s="24" t="s">
        <v>13</v>
      </c>
      <c r="F66" s="24" t="s">
        <v>21</v>
      </c>
      <c r="G66" s="24"/>
      <c r="H66" s="21" t="str">
        <f t="shared" si="3"/>
        <v>Music</v>
      </c>
      <c r="I66" s="20">
        <v>350</v>
      </c>
    </row>
    <row r="67" spans="1:9" x14ac:dyDescent="0.2">
      <c r="A67" s="23">
        <v>211427</v>
      </c>
      <c r="B67" s="23">
        <v>1</v>
      </c>
      <c r="C67" s="23" t="s">
        <v>88</v>
      </c>
      <c r="D67" s="24" t="s">
        <v>162</v>
      </c>
      <c r="E67" s="24" t="s">
        <v>13</v>
      </c>
      <c r="F67" s="24" t="s">
        <v>21</v>
      </c>
      <c r="G67" s="24"/>
      <c r="H67" s="21" t="str">
        <f t="shared" si="3"/>
        <v>Music</v>
      </c>
      <c r="I67" s="20">
        <v>200</v>
      </c>
    </row>
    <row r="68" spans="1:9" x14ac:dyDescent="0.2">
      <c r="A68" s="23">
        <v>211428</v>
      </c>
      <c r="B68" s="23">
        <v>1</v>
      </c>
      <c r="C68" s="23" t="s">
        <v>88</v>
      </c>
      <c r="D68" s="24" t="s">
        <v>163</v>
      </c>
      <c r="E68" s="24" t="s">
        <v>13</v>
      </c>
      <c r="F68" s="24" t="s">
        <v>34</v>
      </c>
      <c r="G68" s="24"/>
      <c r="H68" s="21" t="str">
        <f t="shared" si="3"/>
        <v>Theatre</v>
      </c>
      <c r="I68" s="20">
        <v>415693.04128136527</v>
      </c>
    </row>
    <row r="69" spans="1:9" x14ac:dyDescent="0.2">
      <c r="A69" s="23">
        <v>211429</v>
      </c>
      <c r="B69" s="23">
        <v>1</v>
      </c>
      <c r="C69" s="23" t="s">
        <v>88</v>
      </c>
      <c r="D69" s="24" t="s">
        <v>28</v>
      </c>
      <c r="E69" s="24" t="s">
        <v>13</v>
      </c>
      <c r="F69" s="24" t="s">
        <v>28</v>
      </c>
      <c r="G69" s="24"/>
      <c r="H69" s="21" t="str">
        <f t="shared" si="3"/>
        <v>Studio Art</v>
      </c>
      <c r="I69" s="20">
        <v>295447.97127140401</v>
      </c>
    </row>
    <row r="70" spans="1:9" x14ac:dyDescent="0.2">
      <c r="A70" s="23">
        <v>211431</v>
      </c>
      <c r="B70" s="23">
        <v>1</v>
      </c>
      <c r="C70" s="23" t="s">
        <v>88</v>
      </c>
      <c r="D70" s="24" t="s">
        <v>164</v>
      </c>
      <c r="E70" s="24" t="s">
        <v>13</v>
      </c>
      <c r="F70" s="24" t="s">
        <v>34</v>
      </c>
      <c r="G70" s="24"/>
      <c r="H70" s="21" t="str">
        <f t="shared" si="3"/>
        <v>Theatre</v>
      </c>
      <c r="I70" s="20">
        <v>10944.98</v>
      </c>
    </row>
    <row r="71" spans="1:9" x14ac:dyDescent="0.2">
      <c r="A71" s="23">
        <v>211432</v>
      </c>
      <c r="B71" s="23">
        <v>1</v>
      </c>
      <c r="C71" s="23" t="s">
        <v>88</v>
      </c>
      <c r="D71" s="24" t="s">
        <v>165</v>
      </c>
      <c r="E71" s="24" t="s">
        <v>13</v>
      </c>
      <c r="F71" s="24" t="s">
        <v>21</v>
      </c>
      <c r="G71" s="24"/>
      <c r="H71" s="21" t="str">
        <f t="shared" si="3"/>
        <v>Music</v>
      </c>
      <c r="I71" s="20">
        <v>3100</v>
      </c>
    </row>
    <row r="72" spans="1:9" x14ac:dyDescent="0.2">
      <c r="A72" s="23">
        <v>211433</v>
      </c>
      <c r="B72" s="23">
        <v>1</v>
      </c>
      <c r="C72" s="23" t="s">
        <v>88</v>
      </c>
      <c r="D72" s="24" t="s">
        <v>166</v>
      </c>
      <c r="E72" s="24" t="s">
        <v>13</v>
      </c>
      <c r="F72" s="24" t="s">
        <v>21</v>
      </c>
      <c r="G72" s="24"/>
      <c r="H72" s="21" t="str">
        <f t="shared" si="3"/>
        <v>Music</v>
      </c>
      <c r="I72" s="20">
        <v>4101.7167818017615</v>
      </c>
    </row>
    <row r="73" spans="1:9" x14ac:dyDescent="0.2">
      <c r="A73" s="23">
        <v>211434</v>
      </c>
      <c r="B73" s="23">
        <v>6</v>
      </c>
      <c r="C73" s="23" t="s">
        <v>167</v>
      </c>
      <c r="D73" s="24" t="s">
        <v>168</v>
      </c>
      <c r="E73" s="24" t="s">
        <v>90</v>
      </c>
      <c r="F73" s="24"/>
      <c r="G73" s="24"/>
      <c r="H73" s="44">
        <v>0</v>
      </c>
      <c r="I73" s="20">
        <v>0</v>
      </c>
    </row>
    <row r="74" spans="1:9" x14ac:dyDescent="0.2">
      <c r="A74" s="23">
        <v>211435</v>
      </c>
      <c r="B74" s="23">
        <v>1</v>
      </c>
      <c r="C74" s="23" t="s">
        <v>88</v>
      </c>
      <c r="D74" s="24" t="s">
        <v>169</v>
      </c>
      <c r="E74" s="24" t="s">
        <v>13</v>
      </c>
      <c r="F74" s="24" t="s">
        <v>38</v>
      </c>
      <c r="G74" s="24"/>
      <c r="H74" s="21" t="str">
        <f t="shared" ref="H74" si="4">F74</f>
        <v>Music Industry</v>
      </c>
      <c r="I74" s="20">
        <v>1390073.756403978</v>
      </c>
    </row>
    <row r="75" spans="1:9" x14ac:dyDescent="0.2">
      <c r="A75" s="23">
        <v>211437</v>
      </c>
      <c r="B75" s="23">
        <v>1</v>
      </c>
      <c r="C75" s="23" t="s">
        <v>88</v>
      </c>
      <c r="D75" s="24" t="s">
        <v>170</v>
      </c>
      <c r="E75" s="24" t="s">
        <v>13</v>
      </c>
      <c r="F75" s="24" t="s">
        <v>171</v>
      </c>
      <c r="G75" s="24" t="s">
        <v>172</v>
      </c>
      <c r="H75" s="44">
        <v>0</v>
      </c>
      <c r="I75" s="20">
        <v>0</v>
      </c>
    </row>
    <row r="76" spans="1:9" x14ac:dyDescent="0.2">
      <c r="A76" s="23">
        <v>211438</v>
      </c>
      <c r="B76" s="23">
        <v>1</v>
      </c>
      <c r="C76" s="23" t="s">
        <v>88</v>
      </c>
      <c r="D76" s="24" t="s">
        <v>173</v>
      </c>
      <c r="E76" s="24" t="s">
        <v>13</v>
      </c>
      <c r="F76" s="24" t="s">
        <v>21</v>
      </c>
      <c r="G76" s="24"/>
      <c r="H76" s="21" t="str">
        <f t="shared" ref="H76:H77" si="5">F76</f>
        <v>Music</v>
      </c>
      <c r="I76" s="20">
        <v>10648.96875046278</v>
      </c>
    </row>
    <row r="77" spans="1:9" x14ac:dyDescent="0.2">
      <c r="A77" s="23">
        <v>211439</v>
      </c>
      <c r="B77" s="23">
        <v>1</v>
      </c>
      <c r="C77" s="23" t="s">
        <v>88</v>
      </c>
      <c r="D77" s="24" t="s">
        <v>174</v>
      </c>
      <c r="E77" s="24" t="s">
        <v>13</v>
      </c>
      <c r="F77" s="24" t="s">
        <v>21</v>
      </c>
      <c r="G77" s="24"/>
      <c r="H77" s="21" t="str">
        <f t="shared" si="5"/>
        <v>Music</v>
      </c>
      <c r="I77" s="20">
        <v>3150</v>
      </c>
    </row>
    <row r="78" spans="1:9" x14ac:dyDescent="0.2">
      <c r="A78" s="23">
        <v>211440</v>
      </c>
      <c r="B78" s="23">
        <v>1</v>
      </c>
      <c r="C78" s="23" t="s">
        <v>88</v>
      </c>
      <c r="D78" s="24" t="s">
        <v>175</v>
      </c>
      <c r="E78" s="24" t="s">
        <v>13</v>
      </c>
      <c r="F78" s="24" t="s">
        <v>21</v>
      </c>
      <c r="G78" s="24"/>
      <c r="H78" s="44">
        <v>0</v>
      </c>
      <c r="I78" s="20">
        <v>0</v>
      </c>
    </row>
    <row r="79" spans="1:9" x14ac:dyDescent="0.2">
      <c r="A79" s="23">
        <v>211441</v>
      </c>
      <c r="B79" s="23">
        <v>1</v>
      </c>
      <c r="C79" s="23" t="s">
        <v>88</v>
      </c>
      <c r="D79" s="24" t="s">
        <v>176</v>
      </c>
      <c r="E79" s="24" t="s">
        <v>31</v>
      </c>
      <c r="F79" s="24" t="s">
        <v>31</v>
      </c>
      <c r="G79" s="24"/>
      <c r="H79" s="21" t="s">
        <v>337</v>
      </c>
      <c r="I79" s="20">
        <v>5749918.2500723843</v>
      </c>
    </row>
    <row r="80" spans="1:9" s="25" customFormat="1" x14ac:dyDescent="0.2">
      <c r="A80" s="23">
        <v>211443</v>
      </c>
      <c r="B80" s="23">
        <v>1</v>
      </c>
      <c r="C80" s="23" t="s">
        <v>88</v>
      </c>
      <c r="D80" s="24" t="s">
        <v>177</v>
      </c>
      <c r="E80" s="24" t="s">
        <v>31</v>
      </c>
      <c r="F80" s="24" t="s">
        <v>31</v>
      </c>
      <c r="G80" s="24"/>
      <c r="H80" s="44">
        <v>0</v>
      </c>
      <c r="I80" s="20">
        <v>0</v>
      </c>
    </row>
    <row r="81" spans="1:9" s="25" customFormat="1" x14ac:dyDescent="0.2">
      <c r="A81" s="23">
        <v>211445</v>
      </c>
      <c r="B81" s="23">
        <v>1</v>
      </c>
      <c r="C81" s="23" t="s">
        <v>88</v>
      </c>
      <c r="D81" s="24" t="s">
        <v>178</v>
      </c>
      <c r="E81" s="24" t="s">
        <v>31</v>
      </c>
      <c r="F81" s="24" t="s">
        <v>31</v>
      </c>
      <c r="G81" s="24"/>
      <c r="H81" s="44">
        <v>0</v>
      </c>
      <c r="I81" s="20">
        <v>0</v>
      </c>
    </row>
    <row r="82" spans="1:9" x14ac:dyDescent="0.2">
      <c r="A82" s="23">
        <v>211446</v>
      </c>
      <c r="B82" s="23">
        <v>1</v>
      </c>
      <c r="C82" s="23" t="s">
        <v>88</v>
      </c>
      <c r="D82" s="24" t="s">
        <v>179</v>
      </c>
      <c r="E82" s="24" t="s">
        <v>31</v>
      </c>
      <c r="F82" s="24" t="s">
        <v>31</v>
      </c>
      <c r="G82" s="24"/>
      <c r="H82" s="21" t="s">
        <v>337</v>
      </c>
      <c r="I82" s="20">
        <v>162570.86377495373</v>
      </c>
    </row>
    <row r="83" spans="1:9" x14ac:dyDescent="0.2">
      <c r="A83" s="26">
        <v>211447</v>
      </c>
      <c r="B83" s="26">
        <v>1</v>
      </c>
      <c r="C83" s="26" t="s">
        <v>88</v>
      </c>
      <c r="D83" s="27" t="s">
        <v>180</v>
      </c>
      <c r="E83" s="27" t="s">
        <v>31</v>
      </c>
      <c r="F83" s="27" t="s">
        <v>31</v>
      </c>
      <c r="G83" s="27"/>
      <c r="H83" s="21" t="s">
        <v>337</v>
      </c>
      <c r="I83" s="28">
        <v>7009.55</v>
      </c>
    </row>
    <row r="84" spans="1:9" x14ac:dyDescent="0.2">
      <c r="A84" s="26">
        <v>211477</v>
      </c>
      <c r="B84" s="26">
        <v>1</v>
      </c>
      <c r="C84" s="26" t="s">
        <v>88</v>
      </c>
      <c r="D84" s="27" t="s">
        <v>181</v>
      </c>
      <c r="E84" s="27" t="s">
        <v>11</v>
      </c>
      <c r="F84" s="27" t="s">
        <v>33</v>
      </c>
      <c r="G84" s="27"/>
      <c r="H84" s="44">
        <v>0</v>
      </c>
      <c r="I84" s="28">
        <v>0</v>
      </c>
    </row>
    <row r="85" spans="1:9" x14ac:dyDescent="0.2">
      <c r="A85" s="23">
        <v>211540</v>
      </c>
      <c r="B85" s="23">
        <v>1</v>
      </c>
      <c r="C85" s="23" t="s">
        <v>88</v>
      </c>
      <c r="D85" s="24" t="s">
        <v>182</v>
      </c>
      <c r="E85" s="24" t="s">
        <v>112</v>
      </c>
      <c r="F85" s="24" t="s">
        <v>112</v>
      </c>
      <c r="G85" s="24" t="s">
        <v>183</v>
      </c>
      <c r="H85" s="44">
        <v>0</v>
      </c>
      <c r="I85" s="20">
        <v>0</v>
      </c>
    </row>
    <row r="86" spans="1:9" x14ac:dyDescent="0.2">
      <c r="A86" s="23">
        <v>211563</v>
      </c>
      <c r="B86" s="23">
        <v>1</v>
      </c>
      <c r="C86" s="23" t="s">
        <v>88</v>
      </c>
      <c r="D86" s="24" t="s">
        <v>184</v>
      </c>
      <c r="E86" s="24" t="s">
        <v>90</v>
      </c>
      <c r="F86" s="24"/>
      <c r="G86" s="24"/>
      <c r="H86" s="21" t="s">
        <v>93</v>
      </c>
      <c r="I86" s="20">
        <v>63074.675424977831</v>
      </c>
    </row>
    <row r="87" spans="1:9" x14ac:dyDescent="0.2">
      <c r="A87" s="23">
        <v>211900</v>
      </c>
      <c r="B87" s="23">
        <v>1</v>
      </c>
      <c r="C87" s="23" t="s">
        <v>88</v>
      </c>
      <c r="D87" s="24" t="s">
        <v>185</v>
      </c>
      <c r="E87" s="24" t="s">
        <v>112</v>
      </c>
      <c r="F87" s="24" t="s">
        <v>112</v>
      </c>
      <c r="G87" s="24" t="s">
        <v>186</v>
      </c>
      <c r="H87" s="44">
        <v>0</v>
      </c>
      <c r="I87" s="20">
        <v>0</v>
      </c>
    </row>
    <row r="88" spans="1:9" x14ac:dyDescent="0.2">
      <c r="A88" s="23">
        <v>212020</v>
      </c>
      <c r="B88" s="23">
        <v>3</v>
      </c>
      <c r="C88" s="23" t="s">
        <v>187</v>
      </c>
      <c r="D88" s="24" t="s">
        <v>188</v>
      </c>
      <c r="E88" s="24" t="s">
        <v>112</v>
      </c>
      <c r="F88" s="24"/>
      <c r="G88" s="24"/>
      <c r="H88" s="44">
        <v>0</v>
      </c>
      <c r="I88" s="20">
        <v>0</v>
      </c>
    </row>
    <row r="89" spans="1:9" x14ac:dyDescent="0.2">
      <c r="A89" s="23">
        <v>212050</v>
      </c>
      <c r="B89" s="23">
        <v>3</v>
      </c>
      <c r="C89" s="23" t="s">
        <v>187</v>
      </c>
      <c r="D89" s="24" t="s">
        <v>189</v>
      </c>
      <c r="E89" s="24" t="s">
        <v>112</v>
      </c>
      <c r="F89" s="24"/>
      <c r="G89" s="24"/>
      <c r="H89" s="44">
        <v>0</v>
      </c>
      <c r="I89" s="20">
        <v>0</v>
      </c>
    </row>
    <row r="90" spans="1:9" x14ac:dyDescent="0.2">
      <c r="A90" s="23">
        <v>212055</v>
      </c>
      <c r="B90" s="23">
        <v>3</v>
      </c>
      <c r="C90" s="23" t="s">
        <v>187</v>
      </c>
      <c r="D90" s="24" t="s">
        <v>190</v>
      </c>
      <c r="E90" s="24" t="s">
        <v>112</v>
      </c>
      <c r="F90" s="24"/>
      <c r="G90" s="24"/>
      <c r="H90" s="44">
        <v>0</v>
      </c>
      <c r="I90" s="20">
        <v>0</v>
      </c>
    </row>
    <row r="91" spans="1:9" x14ac:dyDescent="0.2">
      <c r="A91" s="23">
        <v>212200</v>
      </c>
      <c r="B91" s="23">
        <v>2</v>
      </c>
      <c r="C91" s="23" t="s">
        <v>191</v>
      </c>
      <c r="D91" s="24" t="s">
        <v>192</v>
      </c>
      <c r="E91" s="24" t="s">
        <v>112</v>
      </c>
      <c r="F91" s="24"/>
      <c r="G91" s="24"/>
      <c r="H91" s="44">
        <v>0</v>
      </c>
      <c r="I91" s="20">
        <v>0</v>
      </c>
    </row>
    <row r="92" spans="1:9" x14ac:dyDescent="0.2">
      <c r="A92" s="23">
        <v>212201</v>
      </c>
      <c r="B92" s="23">
        <v>2</v>
      </c>
      <c r="C92" s="23" t="s">
        <v>191</v>
      </c>
      <c r="D92" s="24" t="s">
        <v>193</v>
      </c>
      <c r="E92" s="24" t="s">
        <v>112</v>
      </c>
      <c r="F92" s="24"/>
      <c r="G92" s="24"/>
      <c r="H92" s="44">
        <v>0</v>
      </c>
      <c r="I92" s="20">
        <v>0</v>
      </c>
    </row>
    <row r="93" spans="1:9" x14ac:dyDescent="0.2">
      <c r="A93" s="23">
        <v>212202</v>
      </c>
      <c r="B93" s="23">
        <v>2</v>
      </c>
      <c r="C93" s="23" t="s">
        <v>191</v>
      </c>
      <c r="D93" s="24" t="s">
        <v>194</v>
      </c>
      <c r="E93" s="24" t="s">
        <v>90</v>
      </c>
      <c r="F93" s="24"/>
      <c r="G93" s="24"/>
      <c r="H93" s="21" t="s">
        <v>41</v>
      </c>
      <c r="I93" s="20">
        <v>11636.67328995344</v>
      </c>
    </row>
    <row r="94" spans="1:9" x14ac:dyDescent="0.2">
      <c r="A94" s="23">
        <v>212206</v>
      </c>
      <c r="B94" s="23">
        <v>2</v>
      </c>
      <c r="C94" s="23" t="s">
        <v>191</v>
      </c>
      <c r="D94" s="24" t="s">
        <v>195</v>
      </c>
      <c r="E94" s="24" t="s">
        <v>90</v>
      </c>
      <c r="F94" s="24"/>
      <c r="G94" s="24"/>
      <c r="H94" s="21" t="s">
        <v>41</v>
      </c>
      <c r="I94" s="20">
        <v>7732.3111310371896</v>
      </c>
    </row>
    <row r="95" spans="1:9" x14ac:dyDescent="0.2">
      <c r="A95" s="23">
        <v>212404</v>
      </c>
      <c r="B95" s="23">
        <v>3</v>
      </c>
      <c r="C95" s="23" t="s">
        <v>187</v>
      </c>
      <c r="D95" s="24" t="s">
        <v>196</v>
      </c>
      <c r="E95" s="24" t="s">
        <v>112</v>
      </c>
      <c r="F95" s="24"/>
      <c r="G95" s="24"/>
      <c r="H95" s="44">
        <v>0</v>
      </c>
      <c r="I95" s="20">
        <v>0</v>
      </c>
    </row>
    <row r="96" spans="1:9" x14ac:dyDescent="0.2">
      <c r="A96" s="23">
        <v>212444</v>
      </c>
      <c r="B96" s="23">
        <v>3</v>
      </c>
      <c r="C96" s="23" t="s">
        <v>187</v>
      </c>
      <c r="D96" s="24" t="s">
        <v>197</v>
      </c>
      <c r="E96" s="24" t="s">
        <v>31</v>
      </c>
      <c r="F96" s="24" t="s">
        <v>31</v>
      </c>
      <c r="G96" s="24"/>
      <c r="H96" s="21" t="s">
        <v>337</v>
      </c>
      <c r="I96" s="20">
        <v>831674.07604530989</v>
      </c>
    </row>
    <row r="97" spans="1:9" x14ac:dyDescent="0.2">
      <c r="A97" s="23">
        <v>212531</v>
      </c>
      <c r="B97" s="23">
        <v>3</v>
      </c>
      <c r="C97" s="23" t="s">
        <v>187</v>
      </c>
      <c r="D97" s="24" t="s">
        <v>198</v>
      </c>
      <c r="E97" s="24" t="s">
        <v>112</v>
      </c>
      <c r="F97" s="24"/>
      <c r="G97" s="24"/>
      <c r="H97" s="44">
        <v>0</v>
      </c>
      <c r="I97" s="20">
        <v>0</v>
      </c>
    </row>
    <row r="98" spans="1:9" x14ac:dyDescent="0.2">
      <c r="A98" s="23">
        <v>212535</v>
      </c>
      <c r="B98" s="23">
        <v>3</v>
      </c>
      <c r="C98" s="23" t="s">
        <v>187</v>
      </c>
      <c r="D98" s="24" t="s">
        <v>199</v>
      </c>
      <c r="E98" s="24" t="s">
        <v>112</v>
      </c>
      <c r="F98" s="24"/>
      <c r="G98" s="24"/>
      <c r="H98" s="44">
        <v>0</v>
      </c>
      <c r="I98" s="20">
        <v>0</v>
      </c>
    </row>
    <row r="99" spans="1:9" x14ac:dyDescent="0.2">
      <c r="A99" s="23">
        <v>213207</v>
      </c>
      <c r="B99" s="23">
        <v>4</v>
      </c>
      <c r="C99" s="23" t="s">
        <v>136</v>
      </c>
      <c r="D99" s="24" t="s">
        <v>200</v>
      </c>
      <c r="E99" s="24" t="s">
        <v>90</v>
      </c>
      <c r="F99" s="24"/>
      <c r="G99" s="24"/>
      <c r="H99" s="21" t="s">
        <v>42</v>
      </c>
      <c r="I99" s="20">
        <v>84249.890938810786</v>
      </c>
    </row>
    <row r="100" spans="1:9" x14ac:dyDescent="0.2">
      <c r="A100" s="23">
        <v>213211</v>
      </c>
      <c r="B100" s="23">
        <v>4</v>
      </c>
      <c r="C100" s="23" t="s">
        <v>136</v>
      </c>
      <c r="D100" s="24" t="s">
        <v>201</v>
      </c>
      <c r="E100" s="24" t="s">
        <v>7</v>
      </c>
      <c r="F100" s="24" t="s">
        <v>121</v>
      </c>
      <c r="G100" s="24" t="s">
        <v>97</v>
      </c>
      <c r="H100" s="44">
        <v>0</v>
      </c>
      <c r="I100" s="20">
        <v>0</v>
      </c>
    </row>
    <row r="101" spans="1:9" x14ac:dyDescent="0.2">
      <c r="A101" s="23">
        <v>213220</v>
      </c>
      <c r="B101" s="23">
        <v>4</v>
      </c>
      <c r="C101" s="23" t="s">
        <v>136</v>
      </c>
      <c r="D101" s="24" t="s">
        <v>202</v>
      </c>
      <c r="E101" s="24" t="s">
        <v>112</v>
      </c>
      <c r="F101" s="24"/>
      <c r="G101" s="24"/>
      <c r="H101" s="44">
        <v>0</v>
      </c>
      <c r="I101" s="20">
        <v>0</v>
      </c>
    </row>
    <row r="102" spans="1:9" x14ac:dyDescent="0.2">
      <c r="A102" s="23">
        <v>213250</v>
      </c>
      <c r="B102" s="23">
        <v>4</v>
      </c>
      <c r="C102" s="23" t="s">
        <v>136</v>
      </c>
      <c r="D102" s="24" t="s">
        <v>203</v>
      </c>
      <c r="E102" s="24" t="s">
        <v>90</v>
      </c>
      <c r="F102" s="24"/>
      <c r="G102" s="24"/>
      <c r="H102" s="21" t="s">
        <v>111</v>
      </c>
      <c r="I102" s="20">
        <v>1283879.1729869219</v>
      </c>
    </row>
    <row r="103" spans="1:9" x14ac:dyDescent="0.2">
      <c r="A103" s="23">
        <v>213251</v>
      </c>
      <c r="B103" s="23">
        <v>4</v>
      </c>
      <c r="C103" s="23" t="s">
        <v>136</v>
      </c>
      <c r="D103" s="24" t="s">
        <v>204</v>
      </c>
      <c r="E103" s="24" t="s">
        <v>90</v>
      </c>
      <c r="F103" s="24"/>
      <c r="G103" s="24"/>
      <c r="H103" s="21" t="s">
        <v>111</v>
      </c>
      <c r="I103" s="20">
        <v>469291.18</v>
      </c>
    </row>
    <row r="104" spans="1:9" x14ac:dyDescent="0.2">
      <c r="A104" s="23">
        <v>213300</v>
      </c>
      <c r="B104" s="23">
        <v>4</v>
      </c>
      <c r="C104" s="23" t="s">
        <v>136</v>
      </c>
      <c r="D104" s="24" t="s">
        <v>205</v>
      </c>
      <c r="E104" s="24" t="s">
        <v>90</v>
      </c>
      <c r="F104" s="24"/>
      <c r="G104" s="24"/>
      <c r="H104" s="21" t="s">
        <v>7</v>
      </c>
      <c r="I104" s="20">
        <v>641848.72300969646</v>
      </c>
    </row>
    <row r="105" spans="1:9" x14ac:dyDescent="0.2">
      <c r="A105" s="23">
        <v>213360</v>
      </c>
      <c r="B105" s="23">
        <v>4</v>
      </c>
      <c r="C105" s="23" t="s">
        <v>136</v>
      </c>
      <c r="D105" s="24" t="s">
        <v>206</v>
      </c>
      <c r="E105" s="24" t="s">
        <v>112</v>
      </c>
      <c r="F105" s="24"/>
      <c r="G105" s="24"/>
      <c r="H105" s="44">
        <v>0</v>
      </c>
      <c r="I105" s="20">
        <v>0</v>
      </c>
    </row>
    <row r="106" spans="1:9" x14ac:dyDescent="0.2">
      <c r="A106" s="23">
        <v>213400</v>
      </c>
      <c r="B106" s="23">
        <v>4</v>
      </c>
      <c r="C106" s="23" t="s">
        <v>136</v>
      </c>
      <c r="D106" s="24" t="s">
        <v>207</v>
      </c>
      <c r="E106" s="24" t="s">
        <v>90</v>
      </c>
      <c r="F106" s="24"/>
      <c r="G106" s="24"/>
      <c r="H106" s="21" t="s">
        <v>45</v>
      </c>
      <c r="I106" s="20">
        <v>560519.49488356302</v>
      </c>
    </row>
    <row r="107" spans="1:9" x14ac:dyDescent="0.2">
      <c r="A107" s="23">
        <v>213420</v>
      </c>
      <c r="B107" s="23">
        <v>4</v>
      </c>
      <c r="C107" s="23" t="s">
        <v>136</v>
      </c>
      <c r="D107" s="24" t="s">
        <v>208</v>
      </c>
      <c r="E107" s="24" t="s">
        <v>90</v>
      </c>
      <c r="F107" s="24"/>
      <c r="G107" s="24"/>
      <c r="H107" s="21" t="s">
        <v>13</v>
      </c>
      <c r="I107" s="20">
        <v>713666.6068372546</v>
      </c>
    </row>
    <row r="108" spans="1:9" x14ac:dyDescent="0.2">
      <c r="A108" s="23">
        <v>213440</v>
      </c>
      <c r="B108" s="23">
        <v>4</v>
      </c>
      <c r="C108" s="23" t="s">
        <v>136</v>
      </c>
      <c r="D108" s="24" t="s">
        <v>209</v>
      </c>
      <c r="E108" s="24" t="s">
        <v>90</v>
      </c>
      <c r="F108" s="24"/>
      <c r="G108" s="24"/>
      <c r="H108" s="21" t="s">
        <v>338</v>
      </c>
      <c r="I108" s="20">
        <v>1027289.564068818</v>
      </c>
    </row>
    <row r="109" spans="1:9" x14ac:dyDescent="0.2">
      <c r="A109" s="23">
        <v>213446</v>
      </c>
      <c r="B109" s="23">
        <v>4</v>
      </c>
      <c r="C109" s="23" t="s">
        <v>136</v>
      </c>
      <c r="D109" s="24" t="s">
        <v>210</v>
      </c>
      <c r="E109" s="24" t="s">
        <v>90</v>
      </c>
      <c r="F109" s="24"/>
      <c r="G109" s="24"/>
      <c r="H109" s="21" t="s">
        <v>338</v>
      </c>
      <c r="I109" s="20">
        <v>51659.127289255623</v>
      </c>
    </row>
    <row r="110" spans="1:9" x14ac:dyDescent="0.2">
      <c r="A110" s="23">
        <v>213460</v>
      </c>
      <c r="B110" s="23">
        <v>4</v>
      </c>
      <c r="C110" s="23" t="s">
        <v>136</v>
      </c>
      <c r="D110" s="24" t="s">
        <v>211</v>
      </c>
      <c r="E110" s="24" t="s">
        <v>90</v>
      </c>
      <c r="F110" s="24"/>
      <c r="G110" s="24"/>
      <c r="H110" s="21" t="s">
        <v>338</v>
      </c>
      <c r="I110" s="20">
        <v>1277910.6436350378</v>
      </c>
    </row>
    <row r="111" spans="1:9" x14ac:dyDescent="0.2">
      <c r="A111" s="23">
        <v>213463</v>
      </c>
      <c r="B111" s="23">
        <v>4</v>
      </c>
      <c r="C111" s="23" t="s">
        <v>136</v>
      </c>
      <c r="D111" s="24" t="s">
        <v>212</v>
      </c>
      <c r="E111" s="24" t="s">
        <v>90</v>
      </c>
      <c r="F111" s="24"/>
      <c r="G111" s="24"/>
      <c r="H111" s="21" t="s">
        <v>338</v>
      </c>
      <c r="I111" s="20">
        <v>4758.7</v>
      </c>
    </row>
    <row r="112" spans="1:9" x14ac:dyDescent="0.2">
      <c r="A112" s="23">
        <v>213464</v>
      </c>
      <c r="B112" s="23">
        <v>4</v>
      </c>
      <c r="C112" s="23" t="s">
        <v>136</v>
      </c>
      <c r="D112" s="24" t="s">
        <v>213</v>
      </c>
      <c r="E112" s="24" t="s">
        <v>90</v>
      </c>
      <c r="F112" s="24"/>
      <c r="G112" s="24"/>
      <c r="H112" s="21" t="s">
        <v>338</v>
      </c>
      <c r="I112" s="20">
        <v>14699.01</v>
      </c>
    </row>
    <row r="113" spans="1:9" x14ac:dyDescent="0.2">
      <c r="A113" s="23">
        <v>213465</v>
      </c>
      <c r="B113" s="23">
        <v>4</v>
      </c>
      <c r="C113" s="23" t="s">
        <v>136</v>
      </c>
      <c r="D113" s="24" t="s">
        <v>214</v>
      </c>
      <c r="E113" s="24" t="s">
        <v>90</v>
      </c>
      <c r="F113" s="24"/>
      <c r="G113" s="24"/>
      <c r="H113" s="21" t="s">
        <v>338</v>
      </c>
      <c r="I113" s="20">
        <v>36013.9</v>
      </c>
    </row>
    <row r="114" spans="1:9" x14ac:dyDescent="0.2">
      <c r="A114" s="23">
        <v>213466</v>
      </c>
      <c r="B114" s="23">
        <v>4</v>
      </c>
      <c r="C114" s="23" t="s">
        <v>136</v>
      </c>
      <c r="D114" s="24" t="s">
        <v>215</v>
      </c>
      <c r="E114" s="24" t="s">
        <v>90</v>
      </c>
      <c r="F114" s="24"/>
      <c r="G114" s="24"/>
      <c r="H114" s="21" t="s">
        <v>338</v>
      </c>
      <c r="I114" s="20">
        <v>-168.9</v>
      </c>
    </row>
    <row r="115" spans="1:9" x14ac:dyDescent="0.2">
      <c r="A115" s="23">
        <v>213480</v>
      </c>
      <c r="B115" s="23">
        <v>4</v>
      </c>
      <c r="C115" s="23" t="s">
        <v>136</v>
      </c>
      <c r="D115" s="24" t="s">
        <v>216</v>
      </c>
      <c r="E115" s="24" t="s">
        <v>90</v>
      </c>
      <c r="F115" s="24"/>
      <c r="G115" s="24"/>
      <c r="H115" s="21" t="s">
        <v>108</v>
      </c>
      <c r="I115" s="20">
        <v>186264.75</v>
      </c>
    </row>
    <row r="116" spans="1:9" x14ac:dyDescent="0.2">
      <c r="A116" s="23">
        <v>213545</v>
      </c>
      <c r="B116" s="23">
        <v>4</v>
      </c>
      <c r="C116" s="23" t="s">
        <v>136</v>
      </c>
      <c r="D116" s="24" t="s">
        <v>217</v>
      </c>
      <c r="E116" s="24" t="s">
        <v>7</v>
      </c>
      <c r="F116" s="24" t="s">
        <v>121</v>
      </c>
      <c r="G116" s="24" t="s">
        <v>97</v>
      </c>
      <c r="H116" s="44">
        <v>0</v>
      </c>
      <c r="I116" s="20">
        <v>0</v>
      </c>
    </row>
    <row r="117" spans="1:9" x14ac:dyDescent="0.2">
      <c r="A117" s="23">
        <v>213550</v>
      </c>
      <c r="B117" s="23">
        <v>4</v>
      </c>
      <c r="C117" s="23" t="s">
        <v>136</v>
      </c>
      <c r="D117" s="24" t="s">
        <v>218</v>
      </c>
      <c r="E117" s="24" t="s">
        <v>90</v>
      </c>
      <c r="F117" s="24"/>
      <c r="G117" s="24"/>
      <c r="H117" s="21" t="s">
        <v>42</v>
      </c>
      <c r="I117" s="20">
        <v>37870.24247209289</v>
      </c>
    </row>
    <row r="118" spans="1:9" x14ac:dyDescent="0.2">
      <c r="A118" s="23">
        <v>213551</v>
      </c>
      <c r="B118" s="23">
        <v>4</v>
      </c>
      <c r="C118" s="23" t="s">
        <v>136</v>
      </c>
      <c r="D118" s="24" t="s">
        <v>219</v>
      </c>
      <c r="E118" s="24" t="s">
        <v>90</v>
      </c>
      <c r="F118" s="24"/>
      <c r="G118" s="24"/>
      <c r="H118" s="21" t="s">
        <v>93</v>
      </c>
      <c r="I118" s="20">
        <v>261.35000000000002</v>
      </c>
    </row>
    <row r="119" spans="1:9" x14ac:dyDescent="0.2">
      <c r="A119" s="23">
        <v>213552</v>
      </c>
      <c r="B119" s="23">
        <v>4</v>
      </c>
      <c r="C119" s="23" t="s">
        <v>136</v>
      </c>
      <c r="D119" s="24" t="s">
        <v>220</v>
      </c>
      <c r="E119" s="24" t="s">
        <v>112</v>
      </c>
      <c r="F119" s="24"/>
      <c r="G119" s="24"/>
      <c r="H119" s="44">
        <v>0</v>
      </c>
      <c r="I119" s="20">
        <v>0</v>
      </c>
    </row>
    <row r="120" spans="1:9" x14ac:dyDescent="0.2">
      <c r="A120" s="23">
        <v>213560</v>
      </c>
      <c r="B120" s="23">
        <v>1</v>
      </c>
      <c r="C120" s="23" t="s">
        <v>88</v>
      </c>
      <c r="D120" s="24" t="s">
        <v>221</v>
      </c>
      <c r="E120" s="24" t="s">
        <v>90</v>
      </c>
      <c r="F120" s="24"/>
      <c r="G120" s="24"/>
      <c r="H120" s="21" t="s">
        <v>102</v>
      </c>
      <c r="I120" s="20">
        <v>1591.3983133258539</v>
      </c>
    </row>
    <row r="121" spans="1:9" x14ac:dyDescent="0.2">
      <c r="A121" s="23">
        <v>213600</v>
      </c>
      <c r="B121" s="23">
        <v>1</v>
      </c>
      <c r="C121" s="23" t="s">
        <v>88</v>
      </c>
      <c r="D121" s="24" t="s">
        <v>222</v>
      </c>
      <c r="E121" s="24" t="s">
        <v>90</v>
      </c>
      <c r="F121" s="24"/>
      <c r="G121" s="24"/>
      <c r="H121" s="21" t="s">
        <v>42</v>
      </c>
      <c r="I121" s="20">
        <v>7880.9937446962467</v>
      </c>
    </row>
    <row r="122" spans="1:9" x14ac:dyDescent="0.2">
      <c r="A122" s="23">
        <v>214000</v>
      </c>
      <c r="B122" s="23">
        <v>5</v>
      </c>
      <c r="C122" s="23" t="s">
        <v>223</v>
      </c>
      <c r="D122" s="24" t="s">
        <v>224</v>
      </c>
      <c r="E122" s="24" t="s">
        <v>90</v>
      </c>
      <c r="F122" s="24"/>
      <c r="G122" s="24"/>
      <c r="H122" s="21" t="s">
        <v>42</v>
      </c>
      <c r="I122" s="20">
        <v>154731.271772812</v>
      </c>
    </row>
    <row r="123" spans="1:9" x14ac:dyDescent="0.2">
      <c r="A123" s="23">
        <v>214080</v>
      </c>
      <c r="B123" s="23">
        <v>5</v>
      </c>
      <c r="C123" s="23" t="s">
        <v>223</v>
      </c>
      <c r="D123" s="24" t="s">
        <v>225</v>
      </c>
      <c r="E123" s="24" t="s">
        <v>90</v>
      </c>
      <c r="F123" s="24"/>
      <c r="G123" s="24"/>
      <c r="H123" s="21" t="s">
        <v>42</v>
      </c>
      <c r="I123" s="20">
        <v>21563.48</v>
      </c>
    </row>
    <row r="124" spans="1:9" x14ac:dyDescent="0.2">
      <c r="A124" s="23">
        <v>214090</v>
      </c>
      <c r="B124" s="23">
        <v>5</v>
      </c>
      <c r="C124" s="23" t="s">
        <v>223</v>
      </c>
      <c r="D124" s="24" t="s">
        <v>226</v>
      </c>
      <c r="E124" s="24" t="s">
        <v>90</v>
      </c>
      <c r="F124" s="24"/>
      <c r="G124" s="24"/>
      <c r="H124" s="21" t="s">
        <v>42</v>
      </c>
      <c r="I124" s="20">
        <v>339841.11858094344</v>
      </c>
    </row>
    <row r="125" spans="1:9" x14ac:dyDescent="0.2">
      <c r="A125" s="23">
        <v>214091</v>
      </c>
      <c r="B125" s="23">
        <v>5</v>
      </c>
      <c r="C125" s="23" t="s">
        <v>223</v>
      </c>
      <c r="D125" s="24" t="s">
        <v>227</v>
      </c>
      <c r="E125" s="24" t="s">
        <v>90</v>
      </c>
      <c r="F125" s="24"/>
      <c r="G125" s="24"/>
      <c r="H125" s="21" t="s">
        <v>42</v>
      </c>
      <c r="I125" s="20">
        <v>6114.04</v>
      </c>
    </row>
    <row r="126" spans="1:9" x14ac:dyDescent="0.2">
      <c r="A126" s="23">
        <v>214092</v>
      </c>
      <c r="B126" s="23">
        <v>5</v>
      </c>
      <c r="C126" s="23" t="s">
        <v>223</v>
      </c>
      <c r="D126" s="24" t="s">
        <v>228</v>
      </c>
      <c r="E126" s="24" t="s">
        <v>112</v>
      </c>
      <c r="F126" s="24"/>
      <c r="G126" s="24"/>
      <c r="H126" s="44">
        <v>0</v>
      </c>
      <c r="I126" s="20">
        <v>0</v>
      </c>
    </row>
    <row r="127" spans="1:9" x14ac:dyDescent="0.2">
      <c r="A127" s="23">
        <v>214093</v>
      </c>
      <c r="B127" s="23">
        <v>5</v>
      </c>
      <c r="C127" s="23" t="s">
        <v>223</v>
      </c>
      <c r="D127" s="24" t="s">
        <v>229</v>
      </c>
      <c r="E127" s="24" t="s">
        <v>90</v>
      </c>
      <c r="F127" s="24"/>
      <c r="G127" s="24"/>
      <c r="H127" s="21" t="s">
        <v>42</v>
      </c>
      <c r="I127" s="20">
        <v>10403.98</v>
      </c>
    </row>
    <row r="128" spans="1:9" x14ac:dyDescent="0.2">
      <c r="A128" s="23">
        <v>214093</v>
      </c>
      <c r="B128" s="23">
        <v>6</v>
      </c>
      <c r="C128" s="23" t="s">
        <v>167</v>
      </c>
      <c r="D128" s="24" t="s">
        <v>229</v>
      </c>
      <c r="E128" s="24" t="s">
        <v>112</v>
      </c>
      <c r="F128" s="24"/>
      <c r="G128" s="24"/>
      <c r="H128" s="44">
        <v>0</v>
      </c>
      <c r="I128" s="20">
        <v>0</v>
      </c>
    </row>
    <row r="129" spans="1:9" x14ac:dyDescent="0.2">
      <c r="A129" s="23">
        <v>214095</v>
      </c>
      <c r="B129" s="23">
        <v>5</v>
      </c>
      <c r="C129" s="23" t="s">
        <v>223</v>
      </c>
      <c r="D129" s="24" t="s">
        <v>230</v>
      </c>
      <c r="E129" s="24" t="s">
        <v>112</v>
      </c>
      <c r="F129" s="24"/>
      <c r="G129" s="24"/>
      <c r="H129" s="44">
        <v>0</v>
      </c>
      <c r="I129" s="20">
        <v>0</v>
      </c>
    </row>
    <row r="130" spans="1:9" x14ac:dyDescent="0.2">
      <c r="A130" s="23">
        <v>214213</v>
      </c>
      <c r="B130" s="23">
        <v>5</v>
      </c>
      <c r="C130" s="23" t="s">
        <v>223</v>
      </c>
      <c r="D130" s="24" t="s">
        <v>231</v>
      </c>
      <c r="E130" s="24" t="s">
        <v>112</v>
      </c>
      <c r="F130" s="24"/>
      <c r="G130" s="24"/>
      <c r="H130" s="44">
        <v>0</v>
      </c>
      <c r="I130" s="20">
        <v>0</v>
      </c>
    </row>
    <row r="131" spans="1:9" x14ac:dyDescent="0.2">
      <c r="A131" s="23">
        <v>214230</v>
      </c>
      <c r="B131" s="23">
        <v>5</v>
      </c>
      <c r="C131" s="23" t="s">
        <v>223</v>
      </c>
      <c r="D131" s="24" t="s">
        <v>232</v>
      </c>
      <c r="E131" s="24" t="s">
        <v>90</v>
      </c>
      <c r="F131" s="24"/>
      <c r="G131" s="24"/>
      <c r="H131" s="21" t="s">
        <v>111</v>
      </c>
      <c r="I131" s="20">
        <v>406254.57772332861</v>
      </c>
    </row>
    <row r="132" spans="1:9" x14ac:dyDescent="0.2">
      <c r="A132" s="23">
        <v>214240</v>
      </c>
      <c r="B132" s="23">
        <v>5</v>
      </c>
      <c r="C132" s="23" t="s">
        <v>223</v>
      </c>
      <c r="D132" s="24" t="s">
        <v>233</v>
      </c>
      <c r="E132" s="24" t="s">
        <v>90</v>
      </c>
      <c r="F132" s="24"/>
      <c r="G132" s="24"/>
      <c r="H132" s="21" t="s">
        <v>111</v>
      </c>
      <c r="I132" s="20">
        <v>2583108.7706264574</v>
      </c>
    </row>
    <row r="133" spans="1:9" x14ac:dyDescent="0.2">
      <c r="A133" s="23">
        <v>214241</v>
      </c>
      <c r="B133" s="23">
        <v>5</v>
      </c>
      <c r="C133" s="23" t="s">
        <v>223</v>
      </c>
      <c r="D133" s="24" t="s">
        <v>234</v>
      </c>
      <c r="E133" s="24" t="s">
        <v>90</v>
      </c>
      <c r="F133" s="24"/>
      <c r="G133" s="24"/>
      <c r="H133" s="21" t="s">
        <v>93</v>
      </c>
      <c r="I133" s="20">
        <v>348683.08238020079</v>
      </c>
    </row>
    <row r="134" spans="1:9" x14ac:dyDescent="0.2">
      <c r="A134" s="23">
        <v>214255</v>
      </c>
      <c r="B134" s="23">
        <v>5</v>
      </c>
      <c r="C134" s="23" t="s">
        <v>223</v>
      </c>
      <c r="D134" s="24" t="s">
        <v>235</v>
      </c>
      <c r="E134" s="24" t="s">
        <v>90</v>
      </c>
      <c r="F134" s="24"/>
      <c r="G134" s="24"/>
      <c r="H134" s="21" t="s">
        <v>93</v>
      </c>
      <c r="I134" s="20">
        <v>897495.84895888134</v>
      </c>
    </row>
    <row r="135" spans="1:9" x14ac:dyDescent="0.2">
      <c r="A135" s="23">
        <v>214442</v>
      </c>
      <c r="B135" s="23">
        <v>5</v>
      </c>
      <c r="C135" s="23" t="s">
        <v>223</v>
      </c>
      <c r="D135" s="24" t="s">
        <v>236</v>
      </c>
      <c r="E135" s="24" t="s">
        <v>90</v>
      </c>
      <c r="F135" s="24"/>
      <c r="G135" s="24"/>
      <c r="H135" s="21" t="s">
        <v>338</v>
      </c>
      <c r="I135" s="20">
        <v>366813.84951987315</v>
      </c>
    </row>
    <row r="136" spans="1:9" x14ac:dyDescent="0.2">
      <c r="A136" s="23">
        <v>214443</v>
      </c>
      <c r="B136" s="23">
        <v>5</v>
      </c>
      <c r="C136" s="23" t="s">
        <v>223</v>
      </c>
      <c r="D136" s="24" t="s">
        <v>237</v>
      </c>
      <c r="E136" s="24" t="s">
        <v>90</v>
      </c>
      <c r="F136" s="24"/>
      <c r="G136" s="24"/>
      <c r="H136" s="21" t="s">
        <v>338</v>
      </c>
      <c r="I136" s="20">
        <v>321882.26608835359</v>
      </c>
    </row>
    <row r="137" spans="1:9" x14ac:dyDescent="0.2">
      <c r="A137" s="23">
        <v>214447</v>
      </c>
      <c r="B137" s="23">
        <v>5</v>
      </c>
      <c r="C137" s="23" t="s">
        <v>223</v>
      </c>
      <c r="D137" s="24" t="s">
        <v>238</v>
      </c>
      <c r="E137" s="24" t="s">
        <v>112</v>
      </c>
      <c r="F137" s="24"/>
      <c r="G137" s="24"/>
      <c r="H137" s="44">
        <v>0</v>
      </c>
      <c r="I137" s="20">
        <v>0</v>
      </c>
    </row>
    <row r="138" spans="1:9" x14ac:dyDescent="0.2">
      <c r="A138" s="23">
        <v>214530</v>
      </c>
      <c r="B138" s="23">
        <v>5</v>
      </c>
      <c r="C138" s="23" t="s">
        <v>223</v>
      </c>
      <c r="D138" s="24" t="s">
        <v>239</v>
      </c>
      <c r="E138" s="24" t="s">
        <v>90</v>
      </c>
      <c r="F138" s="24"/>
      <c r="G138" s="24"/>
      <c r="H138" s="21" t="s">
        <v>42</v>
      </c>
      <c r="I138" s="20">
        <v>258139.45492777805</v>
      </c>
    </row>
    <row r="139" spans="1:9" x14ac:dyDescent="0.2">
      <c r="A139" s="23">
        <v>214605</v>
      </c>
      <c r="B139" s="23">
        <v>5</v>
      </c>
      <c r="C139" s="23" t="s">
        <v>223</v>
      </c>
      <c r="D139" s="24" t="s">
        <v>240</v>
      </c>
      <c r="E139" s="24" t="s">
        <v>90</v>
      </c>
      <c r="F139" s="24"/>
      <c r="G139" s="24"/>
      <c r="H139" s="21" t="s">
        <v>42</v>
      </c>
      <c r="I139" s="20">
        <v>299327.14498419134</v>
      </c>
    </row>
    <row r="140" spans="1:9" x14ac:dyDescent="0.2">
      <c r="A140" s="23">
        <v>214607</v>
      </c>
      <c r="B140" s="23">
        <v>5</v>
      </c>
      <c r="C140" s="23" t="s">
        <v>223</v>
      </c>
      <c r="D140" s="24" t="s">
        <v>241</v>
      </c>
      <c r="E140" s="24" t="s">
        <v>90</v>
      </c>
      <c r="F140" s="24"/>
      <c r="G140" s="24"/>
      <c r="H140" s="21" t="s">
        <v>93</v>
      </c>
      <c r="I140" s="20">
        <v>75335.832879158566</v>
      </c>
    </row>
    <row r="141" spans="1:9" x14ac:dyDescent="0.2">
      <c r="A141" s="23">
        <v>214610</v>
      </c>
      <c r="B141" s="23">
        <v>5</v>
      </c>
      <c r="C141" s="23" t="s">
        <v>223</v>
      </c>
      <c r="D141" s="24" t="s">
        <v>242</v>
      </c>
      <c r="E141" s="24" t="s">
        <v>90</v>
      </c>
      <c r="F141" s="24"/>
      <c r="G141" s="24"/>
      <c r="H141" s="21" t="s">
        <v>93</v>
      </c>
      <c r="I141" s="20">
        <v>170760.60826583498</v>
      </c>
    </row>
    <row r="142" spans="1:9" x14ac:dyDescent="0.2">
      <c r="A142" s="23">
        <v>214665</v>
      </c>
      <c r="B142" s="23">
        <v>5</v>
      </c>
      <c r="C142" s="23" t="s">
        <v>223</v>
      </c>
      <c r="D142" s="24" t="s">
        <v>243</v>
      </c>
      <c r="E142" s="24" t="s">
        <v>90</v>
      </c>
      <c r="F142" s="24"/>
      <c r="G142" s="24"/>
      <c r="H142" s="21" t="s">
        <v>42</v>
      </c>
      <c r="I142" s="20">
        <v>330069.45356514835</v>
      </c>
    </row>
    <row r="143" spans="1:9" x14ac:dyDescent="0.2">
      <c r="A143" s="23">
        <v>214726</v>
      </c>
      <c r="B143" s="23">
        <v>5</v>
      </c>
      <c r="C143" s="23" t="s">
        <v>223</v>
      </c>
      <c r="D143" s="24" t="s">
        <v>244</v>
      </c>
      <c r="E143" s="24" t="s">
        <v>90</v>
      </c>
      <c r="F143" s="24"/>
      <c r="G143" s="24"/>
      <c r="H143" s="21" t="s">
        <v>42</v>
      </c>
      <c r="I143" s="20">
        <v>7927.57</v>
      </c>
    </row>
    <row r="144" spans="1:9" x14ac:dyDescent="0.2">
      <c r="A144" s="23">
        <v>214750</v>
      </c>
      <c r="B144" s="23">
        <v>5</v>
      </c>
      <c r="C144" s="23" t="s">
        <v>223</v>
      </c>
      <c r="D144" s="24" t="s">
        <v>245</v>
      </c>
      <c r="E144" s="24" t="s">
        <v>112</v>
      </c>
      <c r="F144" s="24"/>
      <c r="G144" s="24"/>
      <c r="H144" s="44">
        <v>0</v>
      </c>
      <c r="I144" s="20">
        <v>0</v>
      </c>
    </row>
    <row r="145" spans="1:9" x14ac:dyDescent="0.2">
      <c r="A145" s="23">
        <v>216000</v>
      </c>
      <c r="B145" s="23">
        <v>6</v>
      </c>
      <c r="C145" s="23" t="s">
        <v>167</v>
      </c>
      <c r="D145" s="24" t="s">
        <v>246</v>
      </c>
      <c r="E145" s="24" t="s">
        <v>90</v>
      </c>
      <c r="F145" s="24"/>
      <c r="G145" s="24"/>
      <c r="H145" s="21" t="s">
        <v>42</v>
      </c>
      <c r="I145" s="20">
        <v>1464946.1818684915</v>
      </c>
    </row>
    <row r="146" spans="1:9" x14ac:dyDescent="0.2">
      <c r="A146" s="23">
        <v>216002</v>
      </c>
      <c r="B146" s="23">
        <v>6</v>
      </c>
      <c r="C146" s="23" t="s">
        <v>167</v>
      </c>
      <c r="D146" s="24" t="s">
        <v>247</v>
      </c>
      <c r="E146" s="24" t="s">
        <v>90</v>
      </c>
      <c r="F146" s="24"/>
      <c r="G146" s="24"/>
      <c r="H146" s="21" t="s">
        <v>42</v>
      </c>
      <c r="I146" s="20">
        <v>43464.683836427888</v>
      </c>
    </row>
    <row r="147" spans="1:9" x14ac:dyDescent="0.2">
      <c r="A147" s="23">
        <v>216004</v>
      </c>
      <c r="B147" s="23">
        <v>6</v>
      </c>
      <c r="C147" s="23" t="s">
        <v>167</v>
      </c>
      <c r="D147" s="24" t="s">
        <v>248</v>
      </c>
      <c r="E147" s="24" t="s">
        <v>112</v>
      </c>
      <c r="F147" s="24"/>
      <c r="G147" s="24"/>
      <c r="H147" s="44">
        <v>0</v>
      </c>
      <c r="I147" s="20">
        <v>0</v>
      </c>
    </row>
    <row r="148" spans="1:9" x14ac:dyDescent="0.2">
      <c r="A148" s="23">
        <v>216008</v>
      </c>
      <c r="B148" s="23">
        <v>6</v>
      </c>
      <c r="C148" s="23" t="s">
        <v>167</v>
      </c>
      <c r="D148" s="24" t="s">
        <v>249</v>
      </c>
      <c r="E148" s="24" t="s">
        <v>90</v>
      </c>
      <c r="F148" s="24"/>
      <c r="G148" s="24"/>
      <c r="H148" s="21" t="s">
        <v>42</v>
      </c>
      <c r="I148" s="20">
        <v>594375.40607120097</v>
      </c>
    </row>
    <row r="149" spans="1:9" x14ac:dyDescent="0.2">
      <c r="A149" s="23">
        <v>216009</v>
      </c>
      <c r="B149" s="23">
        <v>6</v>
      </c>
      <c r="C149" s="23" t="s">
        <v>167</v>
      </c>
      <c r="D149" s="24" t="s">
        <v>250</v>
      </c>
      <c r="E149" s="24" t="s">
        <v>90</v>
      </c>
      <c r="F149" s="24"/>
      <c r="G149" s="24"/>
      <c r="H149" s="21" t="s">
        <v>42</v>
      </c>
      <c r="I149" s="20">
        <v>166370.18718905369</v>
      </c>
    </row>
    <row r="150" spans="1:9" x14ac:dyDescent="0.2">
      <c r="A150" s="23">
        <v>216011</v>
      </c>
      <c r="B150" s="23">
        <v>6</v>
      </c>
      <c r="C150" s="23" t="s">
        <v>167</v>
      </c>
      <c r="D150" s="24" t="s">
        <v>251</v>
      </c>
      <c r="E150" s="24" t="s">
        <v>90</v>
      </c>
      <c r="F150" s="24"/>
      <c r="G150" s="24"/>
      <c r="H150" s="21" t="s">
        <v>42</v>
      </c>
      <c r="I150" s="20">
        <v>38788.910966511467</v>
      </c>
    </row>
    <row r="151" spans="1:9" x14ac:dyDescent="0.2">
      <c r="A151" s="23">
        <v>216020</v>
      </c>
      <c r="B151" s="23">
        <v>6</v>
      </c>
      <c r="C151" s="23" t="s">
        <v>167</v>
      </c>
      <c r="D151" s="24" t="s">
        <v>252</v>
      </c>
      <c r="E151" s="24" t="s">
        <v>90</v>
      </c>
      <c r="F151" s="24"/>
      <c r="G151" s="24"/>
      <c r="H151" s="21" t="s">
        <v>42</v>
      </c>
      <c r="I151" s="20">
        <v>371198.58</v>
      </c>
    </row>
    <row r="152" spans="1:9" x14ac:dyDescent="0.2">
      <c r="A152" s="23">
        <v>216025</v>
      </c>
      <c r="B152" s="23">
        <v>6</v>
      </c>
      <c r="C152" s="23" t="s">
        <v>167</v>
      </c>
      <c r="D152" s="24" t="s">
        <v>253</v>
      </c>
      <c r="E152" s="24" t="s">
        <v>90</v>
      </c>
      <c r="F152" s="24"/>
      <c r="G152" s="24"/>
      <c r="H152" s="21" t="s">
        <v>42</v>
      </c>
      <c r="I152" s="20">
        <v>35704</v>
      </c>
    </row>
    <row r="153" spans="1:9" x14ac:dyDescent="0.2">
      <c r="A153" s="23">
        <v>216050</v>
      </c>
      <c r="B153" s="23">
        <v>6</v>
      </c>
      <c r="C153" s="23" t="s">
        <v>167</v>
      </c>
      <c r="D153" s="24" t="s">
        <v>254</v>
      </c>
      <c r="E153" s="24" t="s">
        <v>90</v>
      </c>
      <c r="F153" s="24"/>
      <c r="G153" s="24"/>
      <c r="H153" s="21" t="s">
        <v>42</v>
      </c>
      <c r="I153" s="20">
        <v>60082.23</v>
      </c>
    </row>
    <row r="154" spans="1:9" x14ac:dyDescent="0.2">
      <c r="A154" s="23">
        <v>216060</v>
      </c>
      <c r="B154" s="23">
        <v>6</v>
      </c>
      <c r="C154" s="23" t="s">
        <v>167</v>
      </c>
      <c r="D154" s="24" t="s">
        <v>255</v>
      </c>
      <c r="E154" s="24" t="s">
        <v>90</v>
      </c>
      <c r="F154" s="24"/>
      <c r="G154" s="24"/>
      <c r="H154" s="21" t="s">
        <v>42</v>
      </c>
      <c r="I154" s="20">
        <v>96288.5</v>
      </c>
    </row>
    <row r="155" spans="1:9" x14ac:dyDescent="0.2">
      <c r="A155" s="23">
        <v>216070</v>
      </c>
      <c r="B155" s="23">
        <v>6</v>
      </c>
      <c r="C155" s="23" t="s">
        <v>167</v>
      </c>
      <c r="D155" s="24" t="s">
        <v>256</v>
      </c>
      <c r="E155" s="24" t="s">
        <v>90</v>
      </c>
      <c r="F155" s="24"/>
      <c r="G155" s="24"/>
      <c r="H155" s="21" t="s">
        <v>42</v>
      </c>
      <c r="I155" s="20">
        <v>231147.60771451279</v>
      </c>
    </row>
    <row r="156" spans="1:9" x14ac:dyDescent="0.2">
      <c r="A156" s="23">
        <v>216200</v>
      </c>
      <c r="B156" s="23">
        <v>6</v>
      </c>
      <c r="C156" s="23" t="s">
        <v>167</v>
      </c>
      <c r="D156" s="24" t="s">
        <v>257</v>
      </c>
      <c r="E156" s="24" t="s">
        <v>90</v>
      </c>
      <c r="F156" s="24"/>
      <c r="G156" s="24"/>
      <c r="H156" s="21" t="s">
        <v>42</v>
      </c>
      <c r="I156" s="20">
        <v>1049600.283792078</v>
      </c>
    </row>
    <row r="157" spans="1:9" x14ac:dyDescent="0.2">
      <c r="A157" s="23">
        <v>216202</v>
      </c>
      <c r="B157" s="23">
        <v>6</v>
      </c>
      <c r="C157" s="23" t="s">
        <v>167</v>
      </c>
      <c r="D157" s="24" t="s">
        <v>258</v>
      </c>
      <c r="E157" s="24" t="s">
        <v>112</v>
      </c>
      <c r="F157" s="24"/>
      <c r="G157" s="24"/>
      <c r="H157" s="44">
        <v>0</v>
      </c>
      <c r="I157" s="20">
        <v>0</v>
      </c>
    </row>
    <row r="158" spans="1:9" x14ac:dyDescent="0.2">
      <c r="A158" s="23">
        <v>216204</v>
      </c>
      <c r="B158" s="23">
        <v>6</v>
      </c>
      <c r="C158" s="23" t="s">
        <v>167</v>
      </c>
      <c r="D158" s="24" t="s">
        <v>259</v>
      </c>
      <c r="E158" s="24" t="s">
        <v>90</v>
      </c>
      <c r="F158" s="24"/>
      <c r="G158" s="24"/>
      <c r="H158" s="21" t="s">
        <v>42</v>
      </c>
      <c r="I158" s="20">
        <v>43224.80941738149</v>
      </c>
    </row>
    <row r="159" spans="1:9" x14ac:dyDescent="0.2">
      <c r="A159" s="23">
        <v>216205</v>
      </c>
      <c r="B159" s="23">
        <v>6</v>
      </c>
      <c r="C159" s="23" t="s">
        <v>167</v>
      </c>
      <c r="D159" s="24" t="s">
        <v>168</v>
      </c>
      <c r="E159" s="24" t="s">
        <v>112</v>
      </c>
      <c r="F159" s="24"/>
      <c r="G159" s="24"/>
      <c r="H159" s="44">
        <v>0</v>
      </c>
      <c r="I159" s="20">
        <v>0</v>
      </c>
    </row>
    <row r="160" spans="1:9" x14ac:dyDescent="0.2">
      <c r="A160" s="23">
        <v>216209</v>
      </c>
      <c r="B160" s="23">
        <v>6</v>
      </c>
      <c r="C160" s="23" t="s">
        <v>167</v>
      </c>
      <c r="D160" s="24" t="s">
        <v>260</v>
      </c>
      <c r="E160" s="24" t="s">
        <v>112</v>
      </c>
      <c r="F160" s="24"/>
      <c r="G160" s="24"/>
      <c r="H160" s="44">
        <v>0</v>
      </c>
      <c r="I160" s="20">
        <v>0</v>
      </c>
    </row>
    <row r="161" spans="1:9" x14ac:dyDescent="0.2">
      <c r="A161" s="23">
        <v>216210</v>
      </c>
      <c r="B161" s="23">
        <v>6</v>
      </c>
      <c r="C161" s="23" t="s">
        <v>167</v>
      </c>
      <c r="D161" s="24" t="s">
        <v>261</v>
      </c>
      <c r="E161" s="24" t="s">
        <v>90</v>
      </c>
      <c r="F161" s="24"/>
      <c r="G161" s="24"/>
      <c r="H161" s="21" t="s">
        <v>42</v>
      </c>
      <c r="I161" s="20">
        <v>64502.89</v>
      </c>
    </row>
    <row r="162" spans="1:9" x14ac:dyDescent="0.2">
      <c r="A162" s="23">
        <v>216211</v>
      </c>
      <c r="B162" s="23">
        <v>6</v>
      </c>
      <c r="C162" s="23" t="s">
        <v>167</v>
      </c>
      <c r="D162" s="24" t="s">
        <v>262</v>
      </c>
      <c r="E162" s="24" t="s">
        <v>112</v>
      </c>
      <c r="F162" s="24"/>
      <c r="G162" s="24"/>
      <c r="H162" s="44">
        <v>0</v>
      </c>
      <c r="I162" s="20">
        <v>0</v>
      </c>
    </row>
    <row r="163" spans="1:9" x14ac:dyDescent="0.2">
      <c r="A163" s="23">
        <v>216212</v>
      </c>
      <c r="B163" s="23">
        <v>6</v>
      </c>
      <c r="C163" s="23" t="s">
        <v>167</v>
      </c>
      <c r="D163" s="24" t="s">
        <v>263</v>
      </c>
      <c r="E163" s="24" t="s">
        <v>90</v>
      </c>
      <c r="F163" s="24"/>
      <c r="G163" s="24"/>
      <c r="H163" s="21" t="s">
        <v>42</v>
      </c>
      <c r="I163" s="20">
        <v>288032.93165836093</v>
      </c>
    </row>
    <row r="164" spans="1:9" x14ac:dyDescent="0.2">
      <c r="A164" s="23">
        <v>216215</v>
      </c>
      <c r="B164" s="23">
        <v>6</v>
      </c>
      <c r="C164" s="23" t="s">
        <v>167</v>
      </c>
      <c r="D164" s="24" t="s">
        <v>264</v>
      </c>
      <c r="E164" s="24" t="s">
        <v>112</v>
      </c>
      <c r="F164" s="24"/>
      <c r="G164" s="24"/>
      <c r="H164" s="44">
        <v>0</v>
      </c>
      <c r="I164" s="20">
        <v>0</v>
      </c>
    </row>
    <row r="165" spans="1:9" x14ac:dyDescent="0.2">
      <c r="A165" s="23">
        <v>216220</v>
      </c>
      <c r="B165" s="23">
        <v>6</v>
      </c>
      <c r="C165" s="23" t="s">
        <v>167</v>
      </c>
      <c r="D165" s="24" t="s">
        <v>265</v>
      </c>
      <c r="E165" s="24" t="s">
        <v>90</v>
      </c>
      <c r="F165" s="24"/>
      <c r="G165" s="24"/>
      <c r="H165" s="21" t="s">
        <v>42</v>
      </c>
      <c r="I165" s="20">
        <v>304483.16336391872</v>
      </c>
    </row>
    <row r="166" spans="1:9" x14ac:dyDescent="0.2">
      <c r="A166" s="23">
        <v>216300</v>
      </c>
      <c r="B166" s="23">
        <v>6</v>
      </c>
      <c r="C166" s="23" t="s">
        <v>167</v>
      </c>
      <c r="D166" s="24" t="s">
        <v>266</v>
      </c>
      <c r="E166" s="24" t="s">
        <v>90</v>
      </c>
      <c r="F166" s="24"/>
      <c r="G166" s="24"/>
      <c r="H166" s="21" t="s">
        <v>93</v>
      </c>
      <c r="I166" s="20">
        <v>104736.68311749031</v>
      </c>
    </row>
    <row r="167" spans="1:9" x14ac:dyDescent="0.2">
      <c r="A167" s="23">
        <v>216420</v>
      </c>
      <c r="B167" s="23">
        <v>6</v>
      </c>
      <c r="C167" s="23" t="s">
        <v>167</v>
      </c>
      <c r="D167" s="24" t="s">
        <v>267</v>
      </c>
      <c r="E167" s="24" t="s">
        <v>90</v>
      </c>
      <c r="F167" s="24"/>
      <c r="G167" s="24"/>
      <c r="H167" s="21" t="s">
        <v>42</v>
      </c>
      <c r="I167" s="20">
        <v>5153.6473289953437</v>
      </c>
    </row>
    <row r="168" spans="1:9" x14ac:dyDescent="0.2">
      <c r="A168" s="23">
        <v>216504</v>
      </c>
      <c r="B168" s="23">
        <v>6</v>
      </c>
      <c r="C168" s="23" t="s">
        <v>167</v>
      </c>
      <c r="D168" s="24" t="s">
        <v>268</v>
      </c>
      <c r="E168" s="24" t="s">
        <v>90</v>
      </c>
      <c r="F168" s="24"/>
      <c r="G168" s="24"/>
      <c r="H168" s="21" t="s">
        <v>42</v>
      </c>
      <c r="I168" s="20">
        <v>416331.51871959161</v>
      </c>
    </row>
    <row r="169" spans="1:9" x14ac:dyDescent="0.2">
      <c r="A169" s="23">
        <v>216505</v>
      </c>
      <c r="B169" s="23">
        <v>6</v>
      </c>
      <c r="C169" s="23" t="s">
        <v>167</v>
      </c>
      <c r="D169" s="24" t="s">
        <v>269</v>
      </c>
      <c r="E169" s="24" t="s">
        <v>90</v>
      </c>
      <c r="F169" s="24"/>
      <c r="G169" s="24"/>
      <c r="H169" s="21" t="s">
        <v>42</v>
      </c>
      <c r="I169" s="20">
        <v>1006117.6484354204</v>
      </c>
    </row>
    <row r="170" spans="1:9" x14ac:dyDescent="0.2">
      <c r="A170" s="23">
        <v>216506</v>
      </c>
      <c r="B170" s="23">
        <v>6</v>
      </c>
      <c r="C170" s="23" t="s">
        <v>167</v>
      </c>
      <c r="D170" s="24" t="s">
        <v>270</v>
      </c>
      <c r="E170" s="24" t="s">
        <v>90</v>
      </c>
      <c r="F170" s="24"/>
      <c r="G170" s="24"/>
      <c r="H170" s="21" t="s">
        <v>42</v>
      </c>
      <c r="I170" s="20">
        <v>661447.77425643674</v>
      </c>
    </row>
    <row r="171" spans="1:9" x14ac:dyDescent="0.2">
      <c r="A171" s="23">
        <v>216507</v>
      </c>
      <c r="B171" s="23">
        <v>6</v>
      </c>
      <c r="C171" s="23" t="s">
        <v>167</v>
      </c>
      <c r="D171" s="24" t="s">
        <v>271</v>
      </c>
      <c r="E171" s="24" t="s">
        <v>90</v>
      </c>
      <c r="F171" s="24"/>
      <c r="G171" s="24"/>
      <c r="H171" s="21" t="s">
        <v>42</v>
      </c>
      <c r="I171" s="20">
        <v>258108.67205570423</v>
      </c>
    </row>
    <row r="172" spans="1:9" x14ac:dyDescent="0.2">
      <c r="A172" s="23">
        <v>216536</v>
      </c>
      <c r="B172" s="23">
        <v>6</v>
      </c>
      <c r="C172" s="23" t="s">
        <v>167</v>
      </c>
      <c r="D172" s="24" t="s">
        <v>272</v>
      </c>
      <c r="E172" s="24" t="s">
        <v>90</v>
      </c>
      <c r="F172" s="24"/>
      <c r="G172" s="24"/>
      <c r="H172" s="21" t="s">
        <v>42</v>
      </c>
      <c r="I172" s="20">
        <v>146271.31803914285</v>
      </c>
    </row>
    <row r="173" spans="1:9" x14ac:dyDescent="0.2">
      <c r="A173" s="23">
        <v>216600</v>
      </c>
      <c r="B173" s="23">
        <v>6</v>
      </c>
      <c r="C173" s="23" t="s">
        <v>167</v>
      </c>
      <c r="D173" s="24" t="s">
        <v>273</v>
      </c>
      <c r="E173" s="24" t="s">
        <v>90</v>
      </c>
      <c r="F173" s="24"/>
      <c r="G173" s="24"/>
      <c r="H173" s="21" t="s">
        <v>42</v>
      </c>
      <c r="I173" s="20">
        <v>221564.07019979018</v>
      </c>
    </row>
    <row r="174" spans="1:9" x14ac:dyDescent="0.2">
      <c r="A174" s="23">
        <v>216601</v>
      </c>
      <c r="B174" s="23">
        <v>6</v>
      </c>
      <c r="C174" s="23" t="s">
        <v>167</v>
      </c>
      <c r="D174" s="24" t="s">
        <v>274</v>
      </c>
      <c r="E174" s="24" t="s">
        <v>90</v>
      </c>
      <c r="F174" s="24"/>
      <c r="G174" s="24"/>
      <c r="H174" s="21" t="s">
        <v>42</v>
      </c>
      <c r="I174" s="20">
        <v>182765.25069200873</v>
      </c>
    </row>
    <row r="175" spans="1:9" x14ac:dyDescent="0.2">
      <c r="A175" s="23">
        <v>216700</v>
      </c>
      <c r="B175" s="23">
        <v>6</v>
      </c>
      <c r="C175" s="23" t="s">
        <v>167</v>
      </c>
      <c r="D175" s="24" t="s">
        <v>275</v>
      </c>
      <c r="E175" s="24" t="s">
        <v>90</v>
      </c>
      <c r="F175" s="24"/>
      <c r="G175" s="24"/>
      <c r="H175" s="21" t="s">
        <v>42</v>
      </c>
      <c r="I175" s="20">
        <v>137452.78357809276</v>
      </c>
    </row>
    <row r="176" spans="1:9" x14ac:dyDescent="0.2">
      <c r="A176" s="23">
        <v>216703</v>
      </c>
      <c r="B176" s="23">
        <v>6</v>
      </c>
      <c r="C176" s="23" t="s">
        <v>167</v>
      </c>
      <c r="D176" s="24" t="s">
        <v>276</v>
      </c>
      <c r="E176" s="24" t="s">
        <v>90</v>
      </c>
      <c r="F176" s="24"/>
      <c r="G176" s="24"/>
      <c r="H176" s="21" t="s">
        <v>42</v>
      </c>
      <c r="I176" s="20">
        <v>193926.09053912267</v>
      </c>
    </row>
    <row r="177" spans="1:9" x14ac:dyDescent="0.2">
      <c r="A177" s="23">
        <v>216704</v>
      </c>
      <c r="B177" s="23">
        <v>6</v>
      </c>
      <c r="C177" s="23" t="s">
        <v>167</v>
      </c>
      <c r="D177" s="24" t="s">
        <v>277</v>
      </c>
      <c r="E177" s="24" t="s">
        <v>90</v>
      </c>
      <c r="F177" s="24"/>
      <c r="G177" s="24"/>
      <c r="H177" s="21" t="s">
        <v>42</v>
      </c>
      <c r="I177" s="20">
        <v>404771.4282632512</v>
      </c>
    </row>
    <row r="178" spans="1:9" x14ac:dyDescent="0.2">
      <c r="A178" s="23">
        <v>216710</v>
      </c>
      <c r="B178" s="23">
        <v>6</v>
      </c>
      <c r="C178" s="23" t="s">
        <v>167</v>
      </c>
      <c r="D178" s="24" t="s">
        <v>278</v>
      </c>
      <c r="E178" s="24" t="s">
        <v>90</v>
      </c>
      <c r="F178" s="24"/>
      <c r="G178" s="24"/>
      <c r="H178" s="21" t="s">
        <v>42</v>
      </c>
      <c r="I178" s="20">
        <v>1228360.9352360531</v>
      </c>
    </row>
    <row r="179" spans="1:9" x14ac:dyDescent="0.2">
      <c r="A179" s="23">
        <v>216711</v>
      </c>
      <c r="B179" s="23">
        <v>10</v>
      </c>
      <c r="C179" s="23" t="s">
        <v>279</v>
      </c>
      <c r="D179" s="29" t="s">
        <v>280</v>
      </c>
      <c r="E179" s="29" t="s">
        <v>91</v>
      </c>
      <c r="F179" s="29"/>
      <c r="G179" s="29"/>
      <c r="H179" s="21" t="s">
        <v>102</v>
      </c>
      <c r="I179" s="20">
        <v>3236636.33</v>
      </c>
    </row>
    <row r="180" spans="1:9" x14ac:dyDescent="0.2">
      <c r="A180" s="23">
        <v>216713</v>
      </c>
      <c r="B180" s="23">
        <v>6</v>
      </c>
      <c r="C180" s="23" t="s">
        <v>167</v>
      </c>
      <c r="D180" s="24" t="s">
        <v>281</v>
      </c>
      <c r="E180" s="24" t="s">
        <v>90</v>
      </c>
      <c r="F180" s="24"/>
      <c r="G180" s="24"/>
      <c r="H180" s="21" t="s">
        <v>42</v>
      </c>
      <c r="I180" s="20">
        <v>14073.72</v>
      </c>
    </row>
    <row r="181" spans="1:9" x14ac:dyDescent="0.2">
      <c r="A181" s="23">
        <v>216715</v>
      </c>
      <c r="B181" s="23">
        <v>6</v>
      </c>
      <c r="C181" s="23" t="s">
        <v>167</v>
      </c>
      <c r="D181" s="24" t="s">
        <v>282</v>
      </c>
      <c r="E181" s="24" t="s">
        <v>90</v>
      </c>
      <c r="F181" s="24"/>
      <c r="G181" s="24"/>
      <c r="H181" s="21" t="s">
        <v>42</v>
      </c>
      <c r="I181" s="20">
        <v>2485854.804293328</v>
      </c>
    </row>
    <row r="182" spans="1:9" x14ac:dyDescent="0.2">
      <c r="A182" s="23">
        <v>216730</v>
      </c>
      <c r="B182" s="23">
        <v>6</v>
      </c>
      <c r="C182" s="23" t="s">
        <v>167</v>
      </c>
      <c r="D182" s="24" t="s">
        <v>283</v>
      </c>
      <c r="E182" s="24" t="s">
        <v>90</v>
      </c>
      <c r="F182" s="24"/>
      <c r="G182" s="24"/>
      <c r="H182" s="21" t="s">
        <v>42</v>
      </c>
      <c r="I182" s="20">
        <v>570037.84909935598</v>
      </c>
    </row>
    <row r="183" spans="1:9" x14ac:dyDescent="0.2">
      <c r="A183" s="23">
        <v>216734</v>
      </c>
      <c r="B183" s="23">
        <v>6</v>
      </c>
      <c r="C183" s="23" t="s">
        <v>167</v>
      </c>
      <c r="D183" s="24" t="s">
        <v>284</v>
      </c>
      <c r="E183" s="24" t="s">
        <v>90</v>
      </c>
      <c r="F183" s="24"/>
      <c r="G183" s="24"/>
      <c r="H183" s="21" t="s">
        <v>42</v>
      </c>
      <c r="I183" s="20">
        <v>187479.74868896167</v>
      </c>
    </row>
    <row r="184" spans="1:9" x14ac:dyDescent="0.2">
      <c r="A184" s="23">
        <v>216738</v>
      </c>
      <c r="B184" s="23">
        <v>6</v>
      </c>
      <c r="C184" s="23" t="s">
        <v>167</v>
      </c>
      <c r="D184" s="24" t="s">
        <v>285</v>
      </c>
      <c r="E184" s="24" t="s">
        <v>90</v>
      </c>
      <c r="F184" s="24"/>
      <c r="G184" s="24"/>
      <c r="H184" s="21" t="s">
        <v>42</v>
      </c>
      <c r="I184" s="20">
        <v>1653059.3167970066</v>
      </c>
    </row>
    <row r="185" spans="1:9" x14ac:dyDescent="0.2">
      <c r="A185" s="23">
        <v>216765</v>
      </c>
      <c r="B185" s="23">
        <v>6</v>
      </c>
      <c r="C185" s="23" t="s">
        <v>167</v>
      </c>
      <c r="D185" s="24" t="s">
        <v>286</v>
      </c>
      <c r="E185" s="24" t="s">
        <v>90</v>
      </c>
      <c r="F185" s="24"/>
      <c r="G185" s="24"/>
      <c r="H185" s="21" t="s">
        <v>42</v>
      </c>
      <c r="I185" s="20">
        <v>27499.09</v>
      </c>
    </row>
    <row r="186" spans="1:9" x14ac:dyDescent="0.2">
      <c r="A186" s="23">
        <v>216770</v>
      </c>
      <c r="B186" s="23">
        <v>6</v>
      </c>
      <c r="C186" s="23" t="s">
        <v>167</v>
      </c>
      <c r="D186" s="24" t="s">
        <v>287</v>
      </c>
      <c r="E186" s="24" t="s">
        <v>90</v>
      </c>
      <c r="F186" s="24"/>
      <c r="G186" s="24"/>
      <c r="H186" s="21" t="s">
        <v>42</v>
      </c>
      <c r="I186" s="20">
        <v>126849.49071456891</v>
      </c>
    </row>
    <row r="187" spans="1:9" x14ac:dyDescent="0.2">
      <c r="A187" s="23">
        <v>216800</v>
      </c>
      <c r="B187" s="23">
        <v>6</v>
      </c>
      <c r="C187" s="23" t="s">
        <v>167</v>
      </c>
      <c r="D187" s="24" t="s">
        <v>288</v>
      </c>
      <c r="E187" s="24" t="s">
        <v>90</v>
      </c>
      <c r="F187" s="24"/>
      <c r="G187" s="24"/>
      <c r="H187" s="21" t="s">
        <v>42</v>
      </c>
      <c r="I187" s="20">
        <v>407916.7030761519</v>
      </c>
    </row>
    <row r="188" spans="1:9" x14ac:dyDescent="0.2">
      <c r="A188" s="23">
        <v>216815</v>
      </c>
      <c r="B188" s="23">
        <v>6</v>
      </c>
      <c r="C188" s="23" t="s">
        <v>167</v>
      </c>
      <c r="D188" s="24" t="s">
        <v>289</v>
      </c>
      <c r="E188" s="24" t="s">
        <v>112</v>
      </c>
      <c r="F188" s="24"/>
      <c r="G188" s="24"/>
      <c r="H188" s="44">
        <v>0</v>
      </c>
      <c r="I188" s="20">
        <v>0</v>
      </c>
    </row>
    <row r="189" spans="1:9" x14ac:dyDescent="0.2">
      <c r="A189" s="23">
        <v>216820</v>
      </c>
      <c r="B189" s="23">
        <v>6</v>
      </c>
      <c r="C189" s="23" t="s">
        <v>167</v>
      </c>
      <c r="D189" s="24" t="s">
        <v>290</v>
      </c>
      <c r="E189" s="24" t="s">
        <v>112</v>
      </c>
      <c r="F189" s="24"/>
      <c r="G189" s="24"/>
      <c r="H189" s="44">
        <v>0</v>
      </c>
      <c r="I189" s="20">
        <v>0</v>
      </c>
    </row>
    <row r="190" spans="1:9" x14ac:dyDescent="0.2">
      <c r="A190" s="23">
        <v>216825</v>
      </c>
      <c r="B190" s="23">
        <v>6</v>
      </c>
      <c r="C190" s="23" t="s">
        <v>167</v>
      </c>
      <c r="D190" s="24" t="s">
        <v>291</v>
      </c>
      <c r="E190" s="24" t="s">
        <v>90</v>
      </c>
      <c r="F190" s="24"/>
      <c r="G190" s="24"/>
      <c r="H190" s="21" t="s">
        <v>42</v>
      </c>
      <c r="I190" s="20">
        <v>257251.84931017444</v>
      </c>
    </row>
    <row r="191" spans="1:9" x14ac:dyDescent="0.2">
      <c r="A191" s="23">
        <v>216830</v>
      </c>
      <c r="B191" s="23">
        <v>6</v>
      </c>
      <c r="C191" s="23" t="s">
        <v>167</v>
      </c>
      <c r="D191" s="24" t="s">
        <v>292</v>
      </c>
      <c r="E191" s="24" t="s">
        <v>112</v>
      </c>
      <c r="F191" s="24"/>
      <c r="G191" s="24"/>
      <c r="H191" s="44">
        <v>0</v>
      </c>
      <c r="I191" s="20">
        <v>0</v>
      </c>
    </row>
    <row r="192" spans="1:9" x14ac:dyDescent="0.2">
      <c r="A192" s="23">
        <v>216840</v>
      </c>
      <c r="B192" s="23">
        <v>6</v>
      </c>
      <c r="C192" s="23" t="s">
        <v>167</v>
      </c>
      <c r="D192" s="24" t="s">
        <v>293</v>
      </c>
      <c r="E192" s="24" t="s">
        <v>112</v>
      </c>
      <c r="F192" s="24"/>
      <c r="G192" s="24"/>
      <c r="H192" s="44">
        <v>0</v>
      </c>
      <c r="I192" s="20">
        <v>0</v>
      </c>
    </row>
    <row r="193" spans="1:9" x14ac:dyDescent="0.2">
      <c r="A193" s="23">
        <v>216845</v>
      </c>
      <c r="B193" s="23">
        <v>6</v>
      </c>
      <c r="C193" s="23" t="s">
        <v>167</v>
      </c>
      <c r="D193" s="24" t="s">
        <v>294</v>
      </c>
      <c r="E193" s="24" t="s">
        <v>112</v>
      </c>
      <c r="F193" s="24"/>
      <c r="G193" s="24"/>
      <c r="H193" s="44">
        <v>0</v>
      </c>
      <c r="I193" s="20">
        <v>0</v>
      </c>
    </row>
    <row r="194" spans="1:9" x14ac:dyDescent="0.2">
      <c r="A194" s="23">
        <v>216850</v>
      </c>
      <c r="B194" s="23">
        <v>6</v>
      </c>
      <c r="C194" s="23" t="s">
        <v>167</v>
      </c>
      <c r="D194" s="24" t="s">
        <v>295</v>
      </c>
      <c r="E194" s="24" t="s">
        <v>112</v>
      </c>
      <c r="F194" s="24"/>
      <c r="G194" s="24"/>
      <c r="H194" s="44">
        <v>0</v>
      </c>
      <c r="I194" s="20">
        <v>0</v>
      </c>
    </row>
    <row r="195" spans="1:9" x14ac:dyDescent="0.2">
      <c r="A195" s="23">
        <v>216855</v>
      </c>
      <c r="B195" s="23">
        <v>6</v>
      </c>
      <c r="C195" s="23" t="s">
        <v>167</v>
      </c>
      <c r="D195" s="24" t="s">
        <v>296</v>
      </c>
      <c r="E195" s="24" t="s">
        <v>112</v>
      </c>
      <c r="F195" s="24"/>
      <c r="G195" s="24"/>
      <c r="H195" s="44">
        <v>0</v>
      </c>
      <c r="I195" s="20">
        <v>0</v>
      </c>
    </row>
    <row r="196" spans="1:9" x14ac:dyDescent="0.2">
      <c r="A196" s="23">
        <v>216860</v>
      </c>
      <c r="B196" s="23">
        <v>6</v>
      </c>
      <c r="C196" s="23" t="s">
        <v>167</v>
      </c>
      <c r="D196" s="24" t="s">
        <v>297</v>
      </c>
      <c r="E196" s="24" t="s">
        <v>90</v>
      </c>
      <c r="F196" s="24"/>
      <c r="G196" s="24"/>
      <c r="H196" s="21" t="s">
        <v>42</v>
      </c>
      <c r="I196" s="20">
        <v>535629.41788548371</v>
      </c>
    </row>
    <row r="197" spans="1:9" x14ac:dyDescent="0.2">
      <c r="A197" s="23">
        <v>216861</v>
      </c>
      <c r="B197" s="23">
        <v>6</v>
      </c>
      <c r="C197" s="23" t="s">
        <v>167</v>
      </c>
      <c r="D197" s="24" t="s">
        <v>298</v>
      </c>
      <c r="E197" s="24" t="s">
        <v>112</v>
      </c>
      <c r="F197" s="24"/>
      <c r="G197" s="24"/>
      <c r="H197" s="44">
        <v>0</v>
      </c>
      <c r="I197" s="20">
        <v>0</v>
      </c>
    </row>
    <row r="198" spans="1:9" x14ac:dyDescent="0.2">
      <c r="A198" s="23">
        <v>216880</v>
      </c>
      <c r="B198" s="23">
        <v>6</v>
      </c>
      <c r="C198" s="23" t="s">
        <v>167</v>
      </c>
      <c r="D198" s="24" t="s">
        <v>299</v>
      </c>
      <c r="E198" s="24" t="s">
        <v>90</v>
      </c>
      <c r="F198" s="24"/>
      <c r="G198" s="24"/>
      <c r="H198" s="21" t="s">
        <v>42</v>
      </c>
      <c r="I198" s="20">
        <v>717772.31533518923</v>
      </c>
    </row>
    <row r="199" spans="1:9" x14ac:dyDescent="0.2">
      <c r="A199" s="23">
        <v>216900</v>
      </c>
      <c r="B199" s="23">
        <v>6</v>
      </c>
      <c r="C199" s="23" t="s">
        <v>167</v>
      </c>
      <c r="D199" s="24" t="s">
        <v>300</v>
      </c>
      <c r="E199" s="24" t="s">
        <v>90</v>
      </c>
      <c r="F199" s="24"/>
      <c r="G199" s="24"/>
      <c r="H199" s="21" t="s">
        <v>42</v>
      </c>
      <c r="I199" s="20">
        <v>877988.50631208834</v>
      </c>
    </row>
    <row r="200" spans="1:9" x14ac:dyDescent="0.2">
      <c r="A200" s="23">
        <v>216901</v>
      </c>
      <c r="B200" s="23">
        <v>6</v>
      </c>
      <c r="C200" s="23" t="s">
        <v>167</v>
      </c>
      <c r="D200" s="24" t="s">
        <v>301</v>
      </c>
      <c r="E200" s="24" t="s">
        <v>90</v>
      </c>
      <c r="F200" s="24"/>
      <c r="G200" s="24"/>
      <c r="H200" s="21" t="s">
        <v>42</v>
      </c>
      <c r="I200" s="20">
        <v>5942.64</v>
      </c>
    </row>
    <row r="201" spans="1:9" x14ac:dyDescent="0.2">
      <c r="A201" s="23">
        <v>216999</v>
      </c>
      <c r="B201" s="23">
        <v>6</v>
      </c>
      <c r="C201" s="23" t="s">
        <v>167</v>
      </c>
      <c r="D201" s="24" t="s">
        <v>302</v>
      </c>
      <c r="E201" s="24" t="s">
        <v>112</v>
      </c>
      <c r="F201" s="24"/>
      <c r="G201" s="24"/>
      <c r="H201" s="44">
        <v>0</v>
      </c>
      <c r="I201" s="20">
        <v>0</v>
      </c>
    </row>
    <row r="202" spans="1:9" x14ac:dyDescent="0.2">
      <c r="A202" s="23">
        <v>218200</v>
      </c>
      <c r="B202" s="23">
        <v>9</v>
      </c>
      <c r="C202" s="23" t="s">
        <v>303</v>
      </c>
      <c r="D202" s="30" t="s">
        <v>304</v>
      </c>
      <c r="E202" s="30" t="s">
        <v>105</v>
      </c>
      <c r="F202" s="30"/>
      <c r="G202" s="30"/>
      <c r="H202" s="21" t="s">
        <v>99</v>
      </c>
      <c r="I202" s="20">
        <v>64788699.729999997</v>
      </c>
    </row>
    <row r="203" spans="1:9" s="25" customFormat="1" x14ac:dyDescent="0.2">
      <c r="A203" s="26">
        <v>219010</v>
      </c>
      <c r="B203" s="26">
        <v>1</v>
      </c>
      <c r="C203" s="26" t="s">
        <v>88</v>
      </c>
      <c r="D203" s="27" t="s">
        <v>305</v>
      </c>
      <c r="E203" s="27" t="s">
        <v>103</v>
      </c>
      <c r="F203" s="27" t="s">
        <v>112</v>
      </c>
      <c r="G203" s="27" t="s">
        <v>306</v>
      </c>
      <c r="H203" s="21" t="s">
        <v>117</v>
      </c>
      <c r="I203" s="28">
        <v>1818281.39</v>
      </c>
    </row>
    <row r="204" spans="1:9" x14ac:dyDescent="0.2">
      <c r="A204" s="23">
        <v>219012</v>
      </c>
      <c r="B204" s="23">
        <v>5</v>
      </c>
      <c r="C204" s="23" t="s">
        <v>223</v>
      </c>
      <c r="D204" s="24" t="s">
        <v>307</v>
      </c>
      <c r="E204" s="24" t="s">
        <v>90</v>
      </c>
      <c r="F204" s="24"/>
      <c r="G204" s="24"/>
      <c r="H204" s="21" t="s">
        <v>42</v>
      </c>
      <c r="I204" s="20">
        <v>660917.61</v>
      </c>
    </row>
    <row r="205" spans="1:9" x14ac:dyDescent="0.2">
      <c r="A205" s="23">
        <v>219013</v>
      </c>
      <c r="B205" s="23">
        <v>6</v>
      </c>
      <c r="C205" s="23" t="s">
        <v>167</v>
      </c>
      <c r="D205" s="24" t="s">
        <v>308</v>
      </c>
      <c r="E205" s="24" t="s">
        <v>90</v>
      </c>
      <c r="F205" s="31"/>
      <c r="G205" s="31"/>
      <c r="H205" s="21" t="s">
        <v>42</v>
      </c>
      <c r="I205" s="20">
        <v>354633.85</v>
      </c>
    </row>
    <row r="206" spans="1:9" x14ac:dyDescent="0.2">
      <c r="A206" s="23">
        <v>219014</v>
      </c>
      <c r="B206" s="23">
        <v>11</v>
      </c>
      <c r="C206" s="23" t="s">
        <v>91</v>
      </c>
      <c r="D206" s="24" t="s">
        <v>309</v>
      </c>
      <c r="E206" s="24" t="s">
        <v>91</v>
      </c>
      <c r="F206" s="24"/>
      <c r="G206" s="24"/>
      <c r="H206" s="21" t="s">
        <v>102</v>
      </c>
      <c r="I206" s="20">
        <v>7985.04</v>
      </c>
    </row>
    <row r="207" spans="1:9" x14ac:dyDescent="0.2">
      <c r="A207" s="23">
        <v>319100</v>
      </c>
      <c r="B207" s="23">
        <v>11</v>
      </c>
      <c r="C207" s="23" t="s">
        <v>91</v>
      </c>
      <c r="D207" s="24" t="s">
        <v>310</v>
      </c>
      <c r="E207" s="24" t="s">
        <v>91</v>
      </c>
      <c r="F207" s="24"/>
      <c r="G207" s="24"/>
      <c r="H207" s="21" t="s">
        <v>102</v>
      </c>
      <c r="I207" s="20">
        <v>19900.455798190385</v>
      </c>
    </row>
    <row r="208" spans="1:9" x14ac:dyDescent="0.2">
      <c r="A208" s="23">
        <v>319251</v>
      </c>
      <c r="B208" s="23">
        <v>11</v>
      </c>
      <c r="C208" s="23" t="s">
        <v>91</v>
      </c>
      <c r="D208" s="24" t="s">
        <v>311</v>
      </c>
      <c r="E208" s="24" t="s">
        <v>91</v>
      </c>
      <c r="F208" s="24"/>
      <c r="G208" s="24"/>
      <c r="H208" s="21" t="s">
        <v>102</v>
      </c>
      <c r="I208" s="20">
        <v>20868.75</v>
      </c>
    </row>
    <row r="209" spans="1:9" x14ac:dyDescent="0.2">
      <c r="A209" s="23">
        <v>319400</v>
      </c>
      <c r="B209" s="23">
        <v>11</v>
      </c>
      <c r="C209" s="23" t="s">
        <v>91</v>
      </c>
      <c r="D209" s="24" t="s">
        <v>312</v>
      </c>
      <c r="E209" s="24" t="s">
        <v>91</v>
      </c>
      <c r="F209" s="24"/>
      <c r="G209" s="24"/>
      <c r="H209" s="21" t="s">
        <v>102</v>
      </c>
      <c r="I209" s="20">
        <v>14582.857559709428</v>
      </c>
    </row>
    <row r="210" spans="1:9" x14ac:dyDescent="0.2">
      <c r="A210" s="23">
        <v>319401</v>
      </c>
      <c r="B210" s="23">
        <v>11</v>
      </c>
      <c r="C210" s="23" t="s">
        <v>91</v>
      </c>
      <c r="D210" s="24" t="s">
        <v>313</v>
      </c>
      <c r="E210" s="24" t="s">
        <v>91</v>
      </c>
      <c r="F210" s="24"/>
      <c r="G210" s="24"/>
      <c r="H210" s="21" t="s">
        <v>102</v>
      </c>
      <c r="I210" s="20">
        <v>132076.6643492085</v>
      </c>
    </row>
    <row r="211" spans="1:9" x14ac:dyDescent="0.2">
      <c r="A211" s="23">
        <v>319420</v>
      </c>
      <c r="B211" s="23">
        <v>11</v>
      </c>
      <c r="C211" s="23" t="s">
        <v>91</v>
      </c>
      <c r="D211" s="24" t="s">
        <v>314</v>
      </c>
      <c r="E211" s="24" t="s">
        <v>91</v>
      </c>
      <c r="F211" s="24"/>
      <c r="G211" s="24"/>
      <c r="H211" s="21" t="s">
        <v>102</v>
      </c>
      <c r="I211" s="20">
        <v>138497.37666266222</v>
      </c>
    </row>
    <row r="212" spans="1:9" x14ac:dyDescent="0.2">
      <c r="A212" s="23">
        <v>319421</v>
      </c>
      <c r="B212" s="23">
        <v>11</v>
      </c>
      <c r="C212" s="23" t="s">
        <v>91</v>
      </c>
      <c r="D212" s="24" t="s">
        <v>315</v>
      </c>
      <c r="E212" s="24" t="s">
        <v>91</v>
      </c>
      <c r="F212" s="24"/>
      <c r="G212" s="24"/>
      <c r="H212" s="21" t="s">
        <v>102</v>
      </c>
      <c r="I212" s="20">
        <v>3403.5</v>
      </c>
    </row>
    <row r="213" spans="1:9" x14ac:dyDescent="0.2">
      <c r="A213" s="23">
        <v>319600</v>
      </c>
      <c r="B213" s="23">
        <v>11</v>
      </c>
      <c r="C213" s="23" t="s">
        <v>91</v>
      </c>
      <c r="D213" s="24" t="s">
        <v>316</v>
      </c>
      <c r="E213" s="24" t="s">
        <v>91</v>
      </c>
      <c r="F213" s="24"/>
      <c r="G213" s="24"/>
      <c r="H213" s="21" t="s">
        <v>102</v>
      </c>
      <c r="I213" s="20">
        <v>532434.54913110565</v>
      </c>
    </row>
    <row r="214" spans="1:9" x14ac:dyDescent="0.2">
      <c r="A214" s="23">
        <v>319606</v>
      </c>
      <c r="B214" s="23">
        <v>11</v>
      </c>
      <c r="C214" s="23" t="s">
        <v>91</v>
      </c>
      <c r="D214" s="24" t="s">
        <v>317</v>
      </c>
      <c r="E214" s="24" t="s">
        <v>91</v>
      </c>
      <c r="F214" s="24"/>
      <c r="G214" s="24"/>
      <c r="H214" s="21" t="s">
        <v>102</v>
      </c>
      <c r="I214" s="20">
        <v>9478.7168765165188</v>
      </c>
    </row>
    <row r="215" spans="1:9" x14ac:dyDescent="0.2">
      <c r="A215" s="23">
        <v>319610</v>
      </c>
      <c r="B215" s="23">
        <v>11</v>
      </c>
      <c r="C215" s="23" t="s">
        <v>91</v>
      </c>
      <c r="D215" s="24" t="s">
        <v>318</v>
      </c>
      <c r="E215" s="24" t="s">
        <v>91</v>
      </c>
      <c r="F215" s="24"/>
      <c r="G215" s="24"/>
      <c r="H215" s="21" t="s">
        <v>102</v>
      </c>
      <c r="I215" s="20">
        <v>160827.13624281145</v>
      </c>
    </row>
    <row r="216" spans="1:9" x14ac:dyDescent="0.2">
      <c r="A216" s="23">
        <v>319615</v>
      </c>
      <c r="B216" s="23">
        <v>11</v>
      </c>
      <c r="C216" s="23" t="s">
        <v>91</v>
      </c>
      <c r="D216" s="24" t="s">
        <v>319</v>
      </c>
      <c r="E216" s="24" t="s">
        <v>91</v>
      </c>
      <c r="F216" s="24"/>
      <c r="G216" s="24"/>
      <c r="H216" s="21" t="s">
        <v>102</v>
      </c>
      <c r="I216" s="20">
        <v>94086.732440370222</v>
      </c>
    </row>
    <row r="217" spans="1:9" x14ac:dyDescent="0.2">
      <c r="A217" s="23">
        <v>319620</v>
      </c>
      <c r="B217" s="23">
        <v>11</v>
      </c>
      <c r="C217" s="23" t="s">
        <v>91</v>
      </c>
      <c r="D217" s="24" t="s">
        <v>320</v>
      </c>
      <c r="E217" s="24" t="s">
        <v>91</v>
      </c>
      <c r="F217" s="24"/>
      <c r="G217" s="24"/>
      <c r="H217" s="21" t="s">
        <v>102</v>
      </c>
      <c r="I217" s="20">
        <v>166404.0680463342</v>
      </c>
    </row>
    <row r="218" spans="1:9" x14ac:dyDescent="0.2">
      <c r="A218" s="23">
        <v>319625</v>
      </c>
      <c r="B218" s="23">
        <v>11</v>
      </c>
      <c r="C218" s="23" t="s">
        <v>91</v>
      </c>
      <c r="D218" s="24" t="s">
        <v>321</v>
      </c>
      <c r="E218" s="24" t="s">
        <v>91</v>
      </c>
      <c r="F218" s="24"/>
      <c r="G218" s="24"/>
      <c r="H218" s="21" t="s">
        <v>102</v>
      </c>
      <c r="I218" s="20">
        <v>115597.20949869858</v>
      </c>
    </row>
    <row r="219" spans="1:9" x14ac:dyDescent="0.2">
      <c r="A219" s="23">
        <v>319627</v>
      </c>
      <c r="B219" s="23">
        <v>11</v>
      </c>
      <c r="C219" s="23" t="s">
        <v>91</v>
      </c>
      <c r="D219" s="24" t="s">
        <v>322</v>
      </c>
      <c r="E219" s="24" t="s">
        <v>91</v>
      </c>
      <c r="F219" s="24"/>
      <c r="G219" s="24"/>
      <c r="H219" s="21" t="s">
        <v>102</v>
      </c>
      <c r="I219" s="20">
        <v>89779.370041177986</v>
      </c>
    </row>
    <row r="220" spans="1:9" x14ac:dyDescent="0.2">
      <c r="A220" s="23">
        <v>319675</v>
      </c>
      <c r="B220" s="23">
        <v>11</v>
      </c>
      <c r="C220" s="23" t="s">
        <v>91</v>
      </c>
      <c r="D220" s="24" t="s">
        <v>323</v>
      </c>
      <c r="E220" s="24" t="s">
        <v>91</v>
      </c>
      <c r="F220" s="24"/>
      <c r="G220" s="24"/>
      <c r="H220" s="21" t="s">
        <v>102</v>
      </c>
      <c r="I220" s="20">
        <v>285140.50341623044</v>
      </c>
    </row>
    <row r="221" spans="1:9" x14ac:dyDescent="0.2">
      <c r="A221" s="23">
        <v>319700</v>
      </c>
      <c r="B221" s="23">
        <v>11</v>
      </c>
      <c r="C221" s="23" t="s">
        <v>91</v>
      </c>
      <c r="D221" s="24" t="s">
        <v>324</v>
      </c>
      <c r="E221" s="24" t="s">
        <v>91</v>
      </c>
      <c r="F221" s="24"/>
      <c r="G221" s="24"/>
      <c r="H221" s="21" t="s">
        <v>102</v>
      </c>
      <c r="I221" s="20">
        <v>534325.20494069555</v>
      </c>
    </row>
    <row r="222" spans="1:9" x14ac:dyDescent="0.2">
      <c r="A222" s="23">
        <v>319720</v>
      </c>
      <c r="B222" s="23">
        <v>12</v>
      </c>
      <c r="C222" s="23" t="s">
        <v>279</v>
      </c>
      <c r="D222" s="29" t="s">
        <v>325</v>
      </c>
      <c r="E222" s="29" t="s">
        <v>91</v>
      </c>
      <c r="F222" s="29"/>
      <c r="G222" s="29"/>
      <c r="H222" s="21" t="s">
        <v>102</v>
      </c>
      <c r="I222" s="20">
        <v>1218078.22</v>
      </c>
    </row>
    <row r="223" spans="1:9" x14ac:dyDescent="0.2">
      <c r="A223" s="23">
        <v>319736</v>
      </c>
      <c r="B223" s="23">
        <v>11</v>
      </c>
      <c r="C223" s="23" t="s">
        <v>91</v>
      </c>
      <c r="D223" s="24" t="s">
        <v>326</v>
      </c>
      <c r="E223" s="24" t="s">
        <v>91</v>
      </c>
      <c r="F223" s="24"/>
      <c r="G223" s="24"/>
      <c r="H223" s="21" t="s">
        <v>102</v>
      </c>
      <c r="I223" s="20">
        <v>70844.372756237164</v>
      </c>
    </row>
    <row r="224" spans="1:9" x14ac:dyDescent="0.2">
      <c r="A224" s="32" t="s">
        <v>327</v>
      </c>
      <c r="B224" s="32">
        <v>7</v>
      </c>
      <c r="C224" s="32" t="s">
        <v>328</v>
      </c>
      <c r="D224" s="33" t="s">
        <v>329</v>
      </c>
      <c r="E224" s="21" t="s">
        <v>90</v>
      </c>
      <c r="H224" s="21" t="s">
        <v>42</v>
      </c>
      <c r="I224" s="34">
        <v>5729808.6519326605</v>
      </c>
    </row>
    <row r="225" spans="1:10" x14ac:dyDescent="0.2">
      <c r="A225" s="35" t="s">
        <v>330</v>
      </c>
      <c r="B225" s="35"/>
      <c r="C225" s="35"/>
      <c r="D225" s="31" t="s">
        <v>329</v>
      </c>
      <c r="E225" s="31" t="s">
        <v>91</v>
      </c>
      <c r="F225" s="31"/>
      <c r="G225" s="31"/>
      <c r="H225" s="36" t="s">
        <v>102</v>
      </c>
      <c r="I225" s="20">
        <v>2825189.2303356156</v>
      </c>
    </row>
    <row r="227" spans="1:10" s="38" customFormat="1" x14ac:dyDescent="0.2">
      <c r="A227" s="37"/>
      <c r="B227" s="37"/>
      <c r="C227" s="37"/>
      <c r="D227" s="21"/>
      <c r="E227" s="21"/>
      <c r="F227" s="21"/>
      <c r="G227" s="21"/>
      <c r="H227" s="44"/>
      <c r="I227" s="44"/>
      <c r="J227" s="21"/>
    </row>
  </sheetData>
  <autoFilter ref="A1:I225" xr:uid="{1568D208-C105-254F-8FD6-54D70BCD746F}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Summer</vt:lpstr>
      <vt:lpstr>Key Ratios and IC</vt:lpstr>
      <vt:lpstr>Direct Costs Allocation</vt:lpstr>
      <vt:lpstr>Pivot All Costs</vt:lpstr>
      <vt:lpstr>F19 Indirect Allocations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2020-11-04T02:12:37Z</dcterms:created>
  <dcterms:modified xsi:type="dcterms:W3CDTF">2021-01-15T18:14:05Z</dcterms:modified>
</cp:coreProperties>
</file>