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8"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ssripad/Box Sync/Projects/anodefreeCost/batpac/"/>
    </mc:Choice>
  </mc:AlternateContent>
  <xr:revisionPtr revIDLastSave="0" documentId="13_ncr:1_{C722A606-E055-8849-92F1-9EC67E1ED053}" xr6:coauthVersionLast="47" xr6:coauthVersionMax="47" xr10:uidLastSave="{00000000-0000-0000-0000-000000000000}"/>
  <bookViews>
    <workbookView xWindow="1540" yWindow="300" windowWidth="42340" windowHeight="27300" tabRatio="804" activeTab="1" xr2:uid="{00000000-000D-0000-FFFF-FFFF00000000}"/>
  </bookViews>
  <sheets>
    <sheet name="About BatPaC" sheetId="26" r:id="rId1"/>
    <sheet name="Dashboard" sheetId="28" r:id="rId2"/>
    <sheet name="Chem" sheetId="30" r:id="rId3"/>
    <sheet name="Battery Design" sheetId="3" r:id="rId4"/>
    <sheet name="EV Charging" sheetId="24" r:id="rId5"/>
    <sheet name="Summary of Results" sheetId="4" r:id="rId6"/>
    <sheet name="USABC Data" sheetId="22" r:id="rId7"/>
    <sheet name="Manufacturing Cost Calculations" sheetId="1" r:id="rId8"/>
    <sheet name="Prices of Cells and Modules" sheetId="9" r:id="rId9"/>
    <sheet name="Cost Breakdown" sheetId="21" r:id="rId10"/>
    <sheet name="Recycle" sheetId="25" r:id="rId11"/>
    <sheet name="Cost Input" sheetId="2" r:id="rId12"/>
    <sheet name="Thermal" sheetId="14" r:id="rId13"/>
    <sheet name="BMU" sheetId="29" r:id="rId14"/>
    <sheet name="Plant Schematic" sheetId="8" r:id="rId15"/>
    <sheet name="Cell Design" sheetId="7" r:id="rId16"/>
    <sheet name="Module" sheetId="23" r:id="rId17"/>
    <sheet name="Battery" sheetId="12" r:id="rId18"/>
    <sheet name="Lists" sheetId="27" r:id="rId19"/>
  </sheets>
  <definedNames>
    <definedName name="_Conductivity_Al" comment="Conductivity of Al  ((S/m))">Lists!$H$29</definedName>
    <definedName name="_Conductivity_Cu" comment="Conductivity of Cu  ((S/m))">Lists!$H$28</definedName>
    <definedName name="_Cp_Al" comment="Heat Capacity of Al  (J/(g K))">Lists!$H$26</definedName>
    <definedName name="_Cp_Cu" comment="Heat Capacity of Cu  (J/(g K))">Lists!$H$25</definedName>
    <definedName name="_DesiredOut">Lists!$A$75:$I$99</definedName>
    <definedName name="_k_b" comment="Boltzmann constant  (J/K)">Lists!$H$18</definedName>
    <definedName name="_N_a" comment="Avogadro constant  (mol -1)">Lists!$H$19</definedName>
    <definedName name="_R" comment="Gas Constant  (J/(mol K))">Lists!$H$20</definedName>
    <definedName name="_rho_Al" comment="Density of Al  (g/cm^3)">Lists!$H$21</definedName>
    <definedName name="_rho_Cu" comment="Density of Cu  (g/cm^3)">Lists!$H$22</definedName>
    <definedName name="_rho_PE" comment="Density of PE  (g/cm^3)">Lists!$H$27</definedName>
    <definedName name="_rho_PET" comment="Density of PET  (g/cm^3)">Lists!$H$24</definedName>
    <definedName name="_rho_PP" comment="Density of PP  (g/cm^3)">Lists!$H$23</definedName>
    <definedName name="_rho_steel" comment="Density of Steel  (g/cm^3)">Lists!$H$30</definedName>
    <definedName name="_therm_cond_Al" comment="Thermal Conductivity of Al  (W/cm-K)">Lists!$H$31</definedName>
    <definedName name="_therm_cond_Cu" comment="Thermal Conductivity of Cu  (W/cm-K)">Lists!$H$32</definedName>
    <definedName name="Desired_Outputs">Lists!$A$75:$I$99</definedName>
    <definedName name="MovableTable">OFFSET(Lists!$B$74, 0,0,Lists!$A$74+2, 8)</definedName>
    <definedName name="_xlnm.Print_Area" localSheetId="17">Battery!$A$1:$P$134</definedName>
    <definedName name="_xlnm.Print_Area" localSheetId="3">'Battery Design'!$P$192:$W$254</definedName>
    <definedName name="_xlnm.Print_Area" localSheetId="2">Chem!$R$1:$BE$105</definedName>
    <definedName name="_xlnm.Print_Area" localSheetId="9">'Cost Breakdown'!$B$1:$M$335</definedName>
    <definedName name="_xlnm.Print_Area" localSheetId="11">'Cost Input'!$B$1:$K$142</definedName>
    <definedName name="_xlnm.Print_Area" localSheetId="4">'EV Charging'!$B$1:$M$55</definedName>
    <definedName name="_xlnm.Print_Area" localSheetId="7">'Manufacturing Cost Calculations'!$B$1:$M$275</definedName>
    <definedName name="_xlnm.Print_Area" localSheetId="16">Module!$A$1:$X$88</definedName>
    <definedName name="_xlnm.Print_Area" localSheetId="8">'Prices of Cells and Modules'!$B$4:$M$117</definedName>
    <definedName name="_xlnm.Print_Area" localSheetId="10">Recycle!$B$1:$M$55</definedName>
    <definedName name="_xlnm.Print_Area" localSheetId="5">'Summary of Results'!$B$2:$M$112</definedName>
    <definedName name="_xlnm.Print_Area" localSheetId="12">Thermal!$B$1:$M$200</definedName>
    <definedName name="_xlnm.Print_Area" localSheetId="6">'USABC Data'!$B$1:$N$30</definedName>
    <definedName name="_xlnm.Print_Titles" localSheetId="3">'Battery Design'!$1:$6</definedName>
    <definedName name="_xlnm.Print_Titles" localSheetId="2">Chem!$1:$4</definedName>
    <definedName name="_xlnm.Print_Titles" localSheetId="7">'Manufacturing Cost Calculations'!$1:$3</definedName>
    <definedName name="_xlnm.Print_Titles" localSheetId="10">Recycle!$1:$3</definedName>
    <definedName name="_xlnm.Print_Titles" localSheetId="5">'Summary of Results'!$1:$3</definedName>
    <definedName name="_xlnm.Print_Titles" localSheetId="12">Thermal!$1:$4</definedName>
    <definedName name="_xlnm.Print_Titles" localSheetId="6">'USABC Data'!$B:$E,'USABC Data'!$1:$1</definedName>
    <definedName name="solver_adj" localSheetId="1" hidden="1">Dashboard!$D$34:$D$38</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'Summary of Results'!$G$30</definedName>
    <definedName name="solver_pre" localSheetId="1" hidden="1">0.000001</definedName>
    <definedName name="solver_rbv" localSheetId="1" hidden="1">2</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3" i="2" l="1"/>
  <c r="E132" i="2"/>
  <c r="E131" i="2"/>
  <c r="E50" i="28" l="1"/>
  <c r="F50" i="28"/>
  <c r="G50" i="28"/>
  <c r="H50" i="28"/>
  <c r="I50" i="28"/>
  <c r="J50" i="28"/>
  <c r="D50" i="28"/>
  <c r="C20" i="30"/>
  <c r="B121" i="27" l="1"/>
  <c r="C121" i="27" s="1"/>
  <c r="B122" i="27"/>
  <c r="C122" i="27" s="1"/>
  <c r="B123" i="27"/>
  <c r="C123" i="27" s="1"/>
  <c r="B124" i="27"/>
  <c r="C124" i="27" s="1"/>
  <c r="I124" i="27" l="1"/>
  <c r="I123" i="27"/>
  <c r="I122" i="27"/>
  <c r="I121" i="27"/>
  <c r="H123" i="27"/>
  <c r="H121" i="27"/>
  <c r="G123" i="27"/>
  <c r="G121" i="27"/>
  <c r="F122" i="27"/>
  <c r="E124" i="27"/>
  <c r="E123" i="27"/>
  <c r="E122" i="27"/>
  <c r="E121" i="27"/>
  <c r="H124" i="27"/>
  <c r="H122" i="27"/>
  <c r="G124" i="27"/>
  <c r="G122" i="27"/>
  <c r="F124" i="27"/>
  <c r="F123" i="27"/>
  <c r="F121" i="27"/>
  <c r="D124" i="27"/>
  <c r="D123" i="27"/>
  <c r="D122" i="27"/>
  <c r="D121" i="27"/>
  <c r="H28" i="27"/>
  <c r="H29" i="27"/>
  <c r="C41" i="28" l="1"/>
  <c r="U1" i="30" l="1" a="1"/>
  <c r="U1" i="30" s="1"/>
  <c r="B70" i="4"/>
  <c r="AA151" i="4" a="1"/>
  <c r="AA152" i="4" a="1"/>
  <c r="AA148" i="4" a="1"/>
  <c r="AA155" i="4" a="1"/>
  <c r="AA148" i="4" l="1"/>
  <c r="AA155" i="4"/>
  <c r="AA152" i="4"/>
  <c r="AA151" i="4"/>
  <c r="AA1" i="30" a="1"/>
  <c r="AA1" i="30" s="1"/>
  <c r="C56" i="30"/>
  <c r="H84" i="3" s="1"/>
  <c r="AF1" i="30" l="1" a="1"/>
  <c r="AF1" i="30" s="1"/>
  <c r="G84" i="3"/>
  <c r="L84" i="3"/>
  <c r="K84" i="3"/>
  <c r="I84" i="3"/>
  <c r="M84" i="3"/>
  <c r="J84" i="3"/>
  <c r="M207" i="3"/>
  <c r="L207" i="3"/>
  <c r="K207" i="3"/>
  <c r="J207" i="3"/>
  <c r="I207" i="3"/>
  <c r="H207" i="3"/>
  <c r="G207" i="3"/>
  <c r="AK1" i="30" l="1" a="1"/>
  <c r="AK1" i="30" s="1"/>
  <c r="AP1" i="30" s="1" a="1"/>
  <c r="AP1" i="30" s="1"/>
  <c r="C173" i="28" l="1"/>
  <c r="D173" i="28"/>
  <c r="E173" i="28"/>
  <c r="F173" i="28"/>
  <c r="G173" i="28"/>
  <c r="H173" i="28"/>
  <c r="I173" i="28"/>
  <c r="J173" i="28"/>
  <c r="C174" i="28"/>
  <c r="D174" i="28"/>
  <c r="E174" i="28"/>
  <c r="F174" i="28"/>
  <c r="G174" i="28"/>
  <c r="H174" i="28"/>
  <c r="I174" i="28"/>
  <c r="J174" i="28"/>
  <c r="C175" i="28"/>
  <c r="D175" i="28"/>
  <c r="E175" i="28"/>
  <c r="F175" i="28"/>
  <c r="G175" i="28"/>
  <c r="H175" i="28"/>
  <c r="I175" i="28"/>
  <c r="J175" i="28"/>
  <c r="C176" i="28"/>
  <c r="D176" i="28"/>
  <c r="E176" i="28"/>
  <c r="F176" i="28"/>
  <c r="G176" i="28"/>
  <c r="H176" i="28"/>
  <c r="I176" i="28"/>
  <c r="J176" i="28"/>
  <c r="AS1" i="30" l="1"/>
  <c r="AS6" i="30"/>
  <c r="AS17" i="30" s="1"/>
  <c r="AS8" i="30"/>
  <c r="AN8" i="30"/>
  <c r="AU1" i="30" l="1" a="1"/>
  <c r="AU1" i="30" s="1"/>
  <c r="AZ1" i="30" s="1" a="1"/>
  <c r="AZ1" i="30" s="1"/>
  <c r="AS72" i="30"/>
  <c r="AS73" i="30"/>
  <c r="AS97" i="30"/>
  <c r="AS96" i="30"/>
  <c r="AS86" i="30"/>
  <c r="AS94" i="30"/>
  <c r="AS95" i="30"/>
  <c r="AS61" i="30"/>
  <c r="AS21" i="30"/>
  <c r="AS24" i="30"/>
  <c r="AS67" i="30"/>
  <c r="AS60" i="30"/>
  <c r="AS63" i="30"/>
  <c r="AS62" i="30"/>
  <c r="AS78" i="30"/>
  <c r="AS10" i="30"/>
  <c r="AS12" i="30"/>
  <c r="AS11" i="30"/>
  <c r="AS14" i="30"/>
  <c r="AS16" i="30"/>
  <c r="AS18" i="30"/>
  <c r="G28" i="28"/>
  <c r="BE1" i="30" l="1" a="1"/>
  <c r="BE1" i="30" s="1"/>
  <c r="BK1" i="30" s="1" a="1"/>
  <c r="BK1" i="30" s="1"/>
  <c r="C128" i="28"/>
  <c r="A77" i="27" s="1"/>
  <c r="B77" i="27" s="1"/>
  <c r="C129" i="28"/>
  <c r="A78" i="27" s="1"/>
  <c r="B78" i="27" s="1"/>
  <c r="C130" i="28"/>
  <c r="A79" i="27" s="1"/>
  <c r="B79" i="27" s="1"/>
  <c r="C131" i="28"/>
  <c r="A80" i="27" s="1"/>
  <c r="B80" i="27" s="1"/>
  <c r="C132" i="28"/>
  <c r="A81" i="27" s="1"/>
  <c r="B81" i="27" s="1"/>
  <c r="C133" i="28"/>
  <c r="A82" i="27" s="1"/>
  <c r="B82" i="27" s="1"/>
  <c r="C134" i="28"/>
  <c r="A83" i="27" s="1"/>
  <c r="B83" i="27" s="1"/>
  <c r="C135" i="28"/>
  <c r="A84" i="27" s="1"/>
  <c r="B84" i="27" s="1"/>
  <c r="C136" i="28"/>
  <c r="A85" i="27" s="1"/>
  <c r="B85" i="27" s="1"/>
  <c r="C137" i="28"/>
  <c r="A86" i="27" s="1"/>
  <c r="B86" i="27" s="1"/>
  <c r="C138" i="28"/>
  <c r="A87" i="27" s="1"/>
  <c r="B87" i="27" s="1"/>
  <c r="C139" i="28"/>
  <c r="A88" i="27" s="1"/>
  <c r="B88" i="27" s="1"/>
  <c r="C140" i="28"/>
  <c r="A89" i="27" s="1"/>
  <c r="B89" i="27" s="1"/>
  <c r="C141" i="28"/>
  <c r="A90" i="27" s="1"/>
  <c r="B90" i="27" s="1"/>
  <c r="C142" i="28"/>
  <c r="A91" i="27" s="1"/>
  <c r="B91" i="27" s="1"/>
  <c r="C143" i="28"/>
  <c r="A92" i="27" s="1"/>
  <c r="B92" i="27" s="1"/>
  <c r="C144" i="28"/>
  <c r="A93" i="27" s="1"/>
  <c r="B93" i="27" s="1"/>
  <c r="C127" i="28"/>
  <c r="A76" i="27" s="1"/>
  <c r="B76" i="27" s="1"/>
  <c r="F30" i="28" l="1"/>
  <c r="D30" i="28" l="1"/>
  <c r="F10" i="24" l="1"/>
  <c r="G29" i="24"/>
  <c r="H139" i="3"/>
  <c r="I139" i="3"/>
  <c r="J139" i="3"/>
  <c r="K139" i="3"/>
  <c r="L139" i="3"/>
  <c r="M139" i="3"/>
  <c r="G139" i="3"/>
  <c r="H201" i="3"/>
  <c r="I201" i="3"/>
  <c r="J201" i="3"/>
  <c r="K201" i="3"/>
  <c r="L201" i="3"/>
  <c r="M201" i="3"/>
  <c r="G201" i="3"/>
  <c r="H204" i="3"/>
  <c r="I204" i="3"/>
  <c r="J204" i="3"/>
  <c r="K204" i="3"/>
  <c r="L204" i="3"/>
  <c r="M204" i="3"/>
  <c r="G204" i="3"/>
  <c r="H56" i="3"/>
  <c r="I56" i="3"/>
  <c r="J56" i="3"/>
  <c r="K56" i="3"/>
  <c r="L56" i="3"/>
  <c r="M56" i="3"/>
  <c r="G56" i="3"/>
  <c r="H32" i="3"/>
  <c r="I32" i="3"/>
  <c r="J32" i="3"/>
  <c r="K32" i="3"/>
  <c r="L32" i="3"/>
  <c r="M32" i="3"/>
  <c r="G32" i="3"/>
  <c r="H27" i="3"/>
  <c r="H28" i="3" s="1"/>
  <c r="H29" i="3" s="1"/>
  <c r="I27" i="3"/>
  <c r="I28" i="3" s="1"/>
  <c r="J27" i="3"/>
  <c r="J28" i="3" s="1"/>
  <c r="J29" i="3" s="1"/>
  <c r="K27" i="3"/>
  <c r="K28" i="3" s="1"/>
  <c r="K29" i="3" s="1"/>
  <c r="L27" i="3"/>
  <c r="L28" i="3" s="1"/>
  <c r="L29" i="3" s="1"/>
  <c r="M27" i="3"/>
  <c r="M28" i="3" s="1"/>
  <c r="M29" i="3" s="1"/>
  <c r="G27" i="3"/>
  <c r="H133" i="3"/>
  <c r="I133" i="3"/>
  <c r="J133" i="3"/>
  <c r="K133" i="3"/>
  <c r="L133" i="3"/>
  <c r="M133" i="3"/>
  <c r="G133" i="3"/>
  <c r="H156" i="3"/>
  <c r="I156" i="3"/>
  <c r="J156" i="3"/>
  <c r="K156" i="3"/>
  <c r="L156" i="3"/>
  <c r="M156" i="3"/>
  <c r="G156" i="3"/>
  <c r="H160" i="3"/>
  <c r="I160" i="3"/>
  <c r="J160" i="3"/>
  <c r="K160" i="3"/>
  <c r="L160" i="3"/>
  <c r="M160" i="3"/>
  <c r="G160" i="3"/>
  <c r="H62" i="3"/>
  <c r="H33" i="3" s="1"/>
  <c r="I62" i="3"/>
  <c r="I33" i="3" s="1"/>
  <c r="J62" i="3"/>
  <c r="J33" i="3" s="1"/>
  <c r="K62" i="3"/>
  <c r="L62" i="3"/>
  <c r="L33" i="3" s="1"/>
  <c r="M62" i="3"/>
  <c r="H63" i="3"/>
  <c r="I63" i="3"/>
  <c r="I132" i="3" s="1"/>
  <c r="J63" i="3"/>
  <c r="J132" i="3" s="1"/>
  <c r="K63" i="3"/>
  <c r="K132" i="3" s="1"/>
  <c r="L63" i="3"/>
  <c r="L132" i="3" s="1"/>
  <c r="M63" i="3"/>
  <c r="H65" i="3"/>
  <c r="I65" i="3"/>
  <c r="H68" i="3"/>
  <c r="I68" i="3"/>
  <c r="J68" i="3"/>
  <c r="K68" i="3"/>
  <c r="L68" i="3"/>
  <c r="M68" i="3"/>
  <c r="H69" i="3"/>
  <c r="I69" i="3"/>
  <c r="J69" i="3"/>
  <c r="K69" i="3"/>
  <c r="L69" i="3"/>
  <c r="M69" i="3"/>
  <c r="H70" i="3"/>
  <c r="I70" i="3"/>
  <c r="J70" i="3"/>
  <c r="K70" i="3"/>
  <c r="L70" i="3"/>
  <c r="M70" i="3"/>
  <c r="H71" i="3"/>
  <c r="I71" i="3"/>
  <c r="J71" i="3"/>
  <c r="K71" i="3"/>
  <c r="L71" i="3"/>
  <c r="M71" i="3"/>
  <c r="H73" i="3"/>
  <c r="I73" i="3"/>
  <c r="J73" i="3"/>
  <c r="K73" i="3"/>
  <c r="L73" i="3"/>
  <c r="M73" i="3"/>
  <c r="H100" i="3"/>
  <c r="I100" i="3"/>
  <c r="J100" i="3"/>
  <c r="K100" i="3"/>
  <c r="L100" i="3"/>
  <c r="M100" i="3"/>
  <c r="H127" i="3"/>
  <c r="I127" i="3"/>
  <c r="I128" i="3" s="1"/>
  <c r="J127" i="3"/>
  <c r="J128" i="3" s="1"/>
  <c r="K127" i="3"/>
  <c r="K128" i="3" s="1"/>
  <c r="L127" i="3"/>
  <c r="L128" i="3" s="1"/>
  <c r="M127" i="3"/>
  <c r="H190" i="3"/>
  <c r="I190" i="3"/>
  <c r="J190" i="3"/>
  <c r="K190" i="3"/>
  <c r="K191" i="3" s="1"/>
  <c r="L190" i="3"/>
  <c r="M190" i="3"/>
  <c r="M191" i="3" s="1"/>
  <c r="H205" i="3"/>
  <c r="I205" i="3"/>
  <c r="J205" i="3"/>
  <c r="K205" i="3"/>
  <c r="L205" i="3"/>
  <c r="M205" i="3"/>
  <c r="L191" i="3" l="1"/>
  <c r="H191" i="3"/>
  <c r="I29" i="3"/>
  <c r="J191" i="3"/>
  <c r="L64" i="3"/>
  <c r="J72" i="3"/>
  <c r="J74" i="3" s="1"/>
  <c r="J75" i="3" s="1"/>
  <c r="I72" i="3"/>
  <c r="I74" i="3" s="1"/>
  <c r="H126" i="3"/>
  <c r="L72" i="3"/>
  <c r="L74" i="3" s="1"/>
  <c r="J64" i="3"/>
  <c r="I64" i="3"/>
  <c r="K126" i="3"/>
  <c r="M126" i="3"/>
  <c r="I191" i="3"/>
  <c r="J65" i="3"/>
  <c r="J58" i="3" s="1"/>
  <c r="J126" i="3"/>
  <c r="H58" i="3"/>
  <c r="H128" i="3"/>
  <c r="M72" i="3"/>
  <c r="I126" i="3"/>
  <c r="H132" i="3"/>
  <c r="M64" i="3"/>
  <c r="M128" i="3"/>
  <c r="K72" i="3"/>
  <c r="M132" i="3"/>
  <c r="K64" i="3"/>
  <c r="H72" i="3"/>
  <c r="L126" i="3"/>
  <c r="M33" i="3"/>
  <c r="I58" i="3"/>
  <c r="H64" i="3"/>
  <c r="K33" i="3"/>
  <c r="Z149" i="4"/>
  <c r="Z150" i="4"/>
  <c r="Z153" i="4"/>
  <c r="Z154" i="4"/>
  <c r="AA149" i="4" a="1"/>
  <c r="AA154" i="4" a="1"/>
  <c r="AA150" i="4" a="1"/>
  <c r="AA153" i="4" a="1"/>
  <c r="AA154" i="4" l="1"/>
  <c r="AA153" i="4"/>
  <c r="AA150" i="4"/>
  <c r="AA149" i="4"/>
  <c r="K65" i="3"/>
  <c r="K58" i="3" s="1"/>
  <c r="I75" i="3"/>
  <c r="M74" i="3"/>
  <c r="H74" i="3"/>
  <c r="L75" i="3"/>
  <c r="K74" i="3"/>
  <c r="AE148" i="4"/>
  <c r="C150" i="4" l="1"/>
  <c r="L65" i="3"/>
  <c r="L58" i="3" s="1"/>
  <c r="K75" i="3"/>
  <c r="H75" i="3"/>
  <c r="M75" i="3"/>
  <c r="AE149" i="4"/>
  <c r="AE150" i="4" s="1"/>
  <c r="AE151" i="4" s="1"/>
  <c r="AE152" i="4" s="1"/>
  <c r="AE153" i="4" s="1"/>
  <c r="AE154" i="4" s="1"/>
  <c r="AE155" i="4" s="1"/>
  <c r="D150" i="4"/>
  <c r="C151" i="4" l="1"/>
  <c r="E150" i="4"/>
  <c r="M65" i="3"/>
  <c r="M58" i="3" s="1"/>
  <c r="B150" i="4"/>
  <c r="D151" i="4"/>
  <c r="J150" i="4" l="1"/>
  <c r="M150" i="4"/>
  <c r="K150" i="4"/>
  <c r="L150" i="4"/>
  <c r="I150" i="4"/>
  <c r="G150" i="4"/>
  <c r="H150" i="4"/>
  <c r="E151" i="4"/>
  <c r="C152" i="4"/>
  <c r="B151" i="4"/>
  <c r="H151" i="4" l="1"/>
  <c r="I151" i="4"/>
  <c r="J151" i="4"/>
  <c r="G151" i="4"/>
  <c r="K151" i="4"/>
  <c r="L151" i="4"/>
  <c r="M151" i="4"/>
  <c r="C153" i="4"/>
  <c r="E152" i="4"/>
  <c r="G100" i="3"/>
  <c r="D152" i="4"/>
  <c r="I152" i="4" l="1"/>
  <c r="J152" i="4"/>
  <c r="K152" i="4"/>
  <c r="G152" i="4"/>
  <c r="H152" i="4"/>
  <c r="L152" i="4"/>
  <c r="M152" i="4"/>
  <c r="C154" i="4"/>
  <c r="E153" i="4"/>
  <c r="G30" i="24"/>
  <c r="D153" i="4"/>
  <c r="J153" i="4" l="1"/>
  <c r="K153" i="4"/>
  <c r="L153" i="4"/>
  <c r="H153" i="4"/>
  <c r="I153" i="4"/>
  <c r="M153" i="4"/>
  <c r="G153" i="4"/>
  <c r="C155" i="4"/>
  <c r="E154" i="4"/>
  <c r="B112" i="1"/>
  <c r="B113" i="1"/>
  <c r="B114" i="1"/>
  <c r="B115" i="1"/>
  <c r="B116" i="1"/>
  <c r="B111" i="1"/>
  <c r="B100" i="1"/>
  <c r="B101" i="1"/>
  <c r="B102" i="1"/>
  <c r="B103" i="1"/>
  <c r="B104" i="1"/>
  <c r="B105" i="1"/>
  <c r="B106" i="1"/>
  <c r="B107" i="1"/>
  <c r="B108" i="1"/>
  <c r="B109" i="1"/>
  <c r="B99" i="1"/>
  <c r="B91" i="1"/>
  <c r="B92" i="1"/>
  <c r="B93" i="1"/>
  <c r="B94" i="1"/>
  <c r="B95" i="1"/>
  <c r="B96" i="1"/>
  <c r="B97" i="1"/>
  <c r="B90" i="1"/>
  <c r="B72" i="1"/>
  <c r="B73" i="1"/>
  <c r="B74" i="1"/>
  <c r="B75" i="1"/>
  <c r="B77" i="1"/>
  <c r="B78" i="1"/>
  <c r="B79" i="1"/>
  <c r="B80" i="1"/>
  <c r="B81" i="1"/>
  <c r="B82" i="1"/>
  <c r="B83" i="1"/>
  <c r="B84" i="1"/>
  <c r="B85" i="1"/>
  <c r="B86" i="1"/>
  <c r="B87" i="1"/>
  <c r="B88" i="1"/>
  <c r="B54" i="1"/>
  <c r="B55" i="1"/>
  <c r="B56" i="1"/>
  <c r="B57" i="1"/>
  <c r="B59" i="1"/>
  <c r="B60" i="1"/>
  <c r="B61" i="1"/>
  <c r="B62" i="1"/>
  <c r="B63" i="1"/>
  <c r="B64" i="1"/>
  <c r="B65" i="1"/>
  <c r="B67" i="1"/>
  <c r="B68" i="1"/>
  <c r="B69" i="1"/>
  <c r="B39" i="1"/>
  <c r="B34" i="1"/>
  <c r="B35" i="1"/>
  <c r="B36" i="1"/>
  <c r="B37" i="1"/>
  <c r="B40" i="1"/>
  <c r="B41" i="1"/>
  <c r="B42" i="1"/>
  <c r="B43" i="1"/>
  <c r="B44" i="1"/>
  <c r="B45" i="1"/>
  <c r="B46" i="1"/>
  <c r="B47" i="1"/>
  <c r="B48" i="1"/>
  <c r="B49" i="1"/>
  <c r="B50" i="1"/>
  <c r="B51" i="1"/>
  <c r="B6" i="1"/>
  <c r="B7" i="1"/>
  <c r="B8" i="1"/>
  <c r="B9" i="1"/>
  <c r="B10" i="1"/>
  <c r="B11" i="1"/>
  <c r="B12" i="1"/>
  <c r="B13" i="1"/>
  <c r="B5" i="1"/>
  <c r="B17" i="1"/>
  <c r="B18" i="1"/>
  <c r="B19" i="1"/>
  <c r="B20" i="1"/>
  <c r="B21" i="1"/>
  <c r="B23" i="1"/>
  <c r="B24" i="1"/>
  <c r="B25" i="1"/>
  <c r="B26" i="1"/>
  <c r="B27" i="1"/>
  <c r="B28" i="1"/>
  <c r="B29" i="1"/>
  <c r="B30" i="1"/>
  <c r="B31" i="1"/>
  <c r="D154" i="4"/>
  <c r="B152" i="4"/>
  <c r="B153" i="4"/>
  <c r="K154" i="4" l="1"/>
  <c r="L154" i="4"/>
  <c r="M154" i="4"/>
  <c r="I154" i="4"/>
  <c r="G154" i="4"/>
  <c r="H154" i="4"/>
  <c r="J154" i="4"/>
  <c r="C156" i="4"/>
  <c r="E155" i="4"/>
  <c r="D155" i="4"/>
  <c r="L155" i="4" l="1"/>
  <c r="M155" i="4"/>
  <c r="J155" i="4"/>
  <c r="K155" i="4"/>
  <c r="H155" i="4"/>
  <c r="G155" i="4"/>
  <c r="I155" i="4"/>
  <c r="C157" i="4"/>
  <c r="E156" i="4"/>
  <c r="B121" i="4"/>
  <c r="B154" i="4"/>
  <c r="D156" i="4"/>
  <c r="M156" i="4" l="1"/>
  <c r="G156" i="4"/>
  <c r="K156" i="4"/>
  <c r="H156" i="4"/>
  <c r="I156" i="4"/>
  <c r="J156" i="4"/>
  <c r="L156" i="4"/>
  <c r="C158" i="4"/>
  <c r="E157" i="4"/>
  <c r="B156" i="4"/>
  <c r="B155" i="4"/>
  <c r="D157" i="4"/>
  <c r="G157" i="4" l="1"/>
  <c r="H157" i="4"/>
  <c r="L157" i="4"/>
  <c r="M157" i="4"/>
  <c r="J157" i="4"/>
  <c r="I157" i="4"/>
  <c r="K157" i="4"/>
  <c r="C159" i="4"/>
  <c r="E158" i="4"/>
  <c r="B157" i="4"/>
  <c r="D158" i="4"/>
  <c r="G158" i="4" l="1"/>
  <c r="H158" i="4"/>
  <c r="I158" i="4"/>
  <c r="M158" i="4"/>
  <c r="J158" i="4"/>
  <c r="K158" i="4"/>
  <c r="L158" i="4"/>
  <c r="C160" i="4"/>
  <c r="E159" i="4"/>
  <c r="N70" i="27"/>
  <c r="O61" i="27"/>
  <c r="P61" i="27" s="1"/>
  <c r="Q61" i="27" s="1"/>
  <c r="R61" i="27" s="1"/>
  <c r="S61" i="27" s="1"/>
  <c r="T61" i="27" s="1"/>
  <c r="O60" i="27"/>
  <c r="O70" i="27" s="1"/>
  <c r="D159" i="4"/>
  <c r="H159" i="4" l="1"/>
  <c r="I159" i="4"/>
  <c r="J159" i="4"/>
  <c r="L159" i="4"/>
  <c r="G159" i="4"/>
  <c r="K159" i="4"/>
  <c r="M159" i="4"/>
  <c r="C161" i="4"/>
  <c r="E160" i="4"/>
  <c r="P60" i="27"/>
  <c r="P70" i="27" s="1"/>
  <c r="D160" i="4"/>
  <c r="B158" i="4"/>
  <c r="I160" i="4" l="1"/>
  <c r="J160" i="4"/>
  <c r="K160" i="4"/>
  <c r="G160" i="4"/>
  <c r="H160" i="4"/>
  <c r="L160" i="4"/>
  <c r="M160" i="4"/>
  <c r="C162" i="4"/>
  <c r="E161" i="4"/>
  <c r="Q60" i="27"/>
  <c r="Q70" i="27" s="1"/>
  <c r="B160" i="4"/>
  <c r="B159" i="4"/>
  <c r="D161" i="4"/>
  <c r="J161" i="4" l="1"/>
  <c r="K161" i="4"/>
  <c r="L161" i="4"/>
  <c r="H161" i="4"/>
  <c r="G161" i="4"/>
  <c r="I161" i="4"/>
  <c r="M161" i="4"/>
  <c r="C163" i="4"/>
  <c r="E162" i="4"/>
  <c r="R60" i="27"/>
  <c r="R70" i="27" s="1"/>
  <c r="G69" i="3"/>
  <c r="C48" i="28"/>
  <c r="E126" i="28"/>
  <c r="F126" i="28"/>
  <c r="G126" i="28"/>
  <c r="H126" i="28"/>
  <c r="I126" i="28"/>
  <c r="J126" i="28"/>
  <c r="D126" i="28"/>
  <c r="C126" i="28"/>
  <c r="D76" i="28"/>
  <c r="F76" i="28"/>
  <c r="H76" i="28"/>
  <c r="D29" i="28"/>
  <c r="D28" i="28"/>
  <c r="C33" i="28" s="1"/>
  <c r="L46" i="27"/>
  <c r="L45" i="27"/>
  <c r="L44" i="27"/>
  <c r="L43" i="27"/>
  <c r="B161" i="4"/>
  <c r="D162" i="4"/>
  <c r="L42" i="27" l="1"/>
  <c r="H28" i="28" s="1"/>
  <c r="K162" i="4"/>
  <c r="L162" i="4"/>
  <c r="M162" i="4"/>
  <c r="I162" i="4"/>
  <c r="J162" i="4"/>
  <c r="G162" i="4"/>
  <c r="H162" i="4"/>
  <c r="C164" i="4"/>
  <c r="E163" i="4"/>
  <c r="S60" i="27"/>
  <c r="T60" i="27" s="1"/>
  <c r="T70" i="27" s="1"/>
  <c r="AX51" i="30"/>
  <c r="AS51" i="30"/>
  <c r="AN51" i="30"/>
  <c r="AI51" i="30"/>
  <c r="AD51" i="30"/>
  <c r="Y51" i="30"/>
  <c r="BI51" i="30"/>
  <c r="S51" i="30"/>
  <c r="B162" i="4"/>
  <c r="D163" i="4"/>
  <c r="M192" i="3" l="1"/>
  <c r="L192" i="3"/>
  <c r="I192" i="3"/>
  <c r="H192" i="3"/>
  <c r="K192" i="3"/>
  <c r="J192" i="3"/>
  <c r="L163" i="4"/>
  <c r="M163" i="4"/>
  <c r="J163" i="4"/>
  <c r="G163" i="4"/>
  <c r="H163" i="4"/>
  <c r="I163" i="4"/>
  <c r="K163" i="4"/>
  <c r="C165" i="4"/>
  <c r="E164" i="4"/>
  <c r="S70" i="27"/>
  <c r="B163" i="4"/>
  <c r="D164" i="4"/>
  <c r="M164" i="4" l="1"/>
  <c r="G164" i="4"/>
  <c r="K164" i="4"/>
  <c r="L164" i="4"/>
  <c r="I164" i="4"/>
  <c r="H164" i="4"/>
  <c r="J164" i="4"/>
  <c r="C166" i="4"/>
  <c r="E165" i="4"/>
  <c r="X85" i="30"/>
  <c r="G127" i="3"/>
  <c r="G128" i="3" s="1"/>
  <c r="R19" i="27"/>
  <c r="D165" i="4"/>
  <c r="G165" i="4" l="1"/>
  <c r="H165" i="4"/>
  <c r="L165" i="4"/>
  <c r="I165" i="4"/>
  <c r="J165" i="4"/>
  <c r="K165" i="4"/>
  <c r="M165" i="4"/>
  <c r="E166" i="4"/>
  <c r="C167" i="4"/>
  <c r="B164" i="4"/>
  <c r="D166" i="4"/>
  <c r="G166" i="4" l="1"/>
  <c r="H166" i="4"/>
  <c r="I166" i="4"/>
  <c r="M166" i="4"/>
  <c r="K166" i="4"/>
  <c r="J166" i="4"/>
  <c r="L166" i="4"/>
  <c r="E167" i="4"/>
  <c r="C168" i="4"/>
  <c r="T19" i="27"/>
  <c r="T20" i="27"/>
  <c r="T21" i="27"/>
  <c r="T22" i="27"/>
  <c r="R22" i="27"/>
  <c r="R21" i="27"/>
  <c r="R20" i="27"/>
  <c r="S22" i="27"/>
  <c r="S21" i="27"/>
  <c r="S20" i="27"/>
  <c r="S19" i="27"/>
  <c r="D167" i="4"/>
  <c r="B165" i="4"/>
  <c r="H167" i="4" l="1"/>
  <c r="I167" i="4"/>
  <c r="J167" i="4"/>
  <c r="G167" i="4"/>
  <c r="K167" i="4"/>
  <c r="L167" i="4"/>
  <c r="M167" i="4"/>
  <c r="E168" i="4"/>
  <c r="C169" i="4"/>
  <c r="BB89" i="30"/>
  <c r="BB88" i="30"/>
  <c r="BB87" i="30"/>
  <c r="AW89" i="30"/>
  <c r="AW88" i="30"/>
  <c r="AW87" i="30"/>
  <c r="AM89" i="30"/>
  <c r="AM88" i="30"/>
  <c r="AM87" i="30"/>
  <c r="AH89" i="30"/>
  <c r="AH88" i="30"/>
  <c r="AH87" i="30"/>
  <c r="X89" i="30"/>
  <c r="X88" i="30"/>
  <c r="X87" i="30"/>
  <c r="AC89" i="30"/>
  <c r="AC88" i="30"/>
  <c r="AC87" i="30"/>
  <c r="BH89" i="30"/>
  <c r="BH88" i="30"/>
  <c r="BH87" i="30"/>
  <c r="R88" i="30"/>
  <c r="R89" i="30"/>
  <c r="R87" i="30"/>
  <c r="BC8" i="30"/>
  <c r="AX8" i="30"/>
  <c r="AI8" i="30"/>
  <c r="AD8" i="30"/>
  <c r="Y8" i="30"/>
  <c r="BI8" i="30"/>
  <c r="L20" i="27" a="1"/>
  <c r="L20" i="27" s="1"/>
  <c r="N20" i="27" s="1"/>
  <c r="L21" i="27" a="1"/>
  <c r="L21" i="27" s="1"/>
  <c r="L22" i="27" a="1"/>
  <c r="L22" i="27" s="1"/>
  <c r="L23" i="27" a="1"/>
  <c r="L23" i="27" s="1"/>
  <c r="N23" i="27" s="1"/>
  <c r="L24" i="27" a="1"/>
  <c r="L24" i="27" s="1"/>
  <c r="L25" i="27" a="1"/>
  <c r="L25" i="27" s="1"/>
  <c r="L26" i="27" a="1"/>
  <c r="L26" i="27" s="1"/>
  <c r="N26" i="27" s="1"/>
  <c r="L27" i="27" a="1"/>
  <c r="L27" i="27" s="1"/>
  <c r="N27" i="27" s="1"/>
  <c r="L19" i="27" a="1"/>
  <c r="L19" i="27" s="1"/>
  <c r="N19" i="27" s="1"/>
  <c r="S8" i="30"/>
  <c r="B167" i="4"/>
  <c r="B166" i="4"/>
  <c r="D168" i="4"/>
  <c r="AS7" i="30" l="1"/>
  <c r="AN7" i="30"/>
  <c r="I168" i="4"/>
  <c r="J168" i="4"/>
  <c r="K168" i="4"/>
  <c r="G168" i="4"/>
  <c r="H168" i="4"/>
  <c r="M168" i="4"/>
  <c r="L168" i="4"/>
  <c r="C170" i="4"/>
  <c r="E169" i="4"/>
  <c r="AX7" i="30"/>
  <c r="AX89" i="30" s="1"/>
  <c r="N22" i="27"/>
  <c r="BC7" i="30"/>
  <c r="BC89" i="30" s="1"/>
  <c r="N21" i="27"/>
  <c r="BI7" i="30"/>
  <c r="BI88" i="30" s="1"/>
  <c r="N25" i="27"/>
  <c r="AI7" i="30"/>
  <c r="AI87" i="30" s="1"/>
  <c r="N24" i="27"/>
  <c r="Y7" i="30"/>
  <c r="Y88" i="30" s="1"/>
  <c r="AD7" i="30"/>
  <c r="AD88" i="30" s="1"/>
  <c r="AN88" i="30"/>
  <c r="S7" i="30"/>
  <c r="BC55" i="30"/>
  <c r="BC85" i="30"/>
  <c r="BC77" i="30"/>
  <c r="BC75" i="30"/>
  <c r="BC74" i="30"/>
  <c r="BC51" i="30"/>
  <c r="B168" i="4"/>
  <c r="D169" i="4"/>
  <c r="J169" i="4" l="1"/>
  <c r="K169" i="4"/>
  <c r="L169" i="4"/>
  <c r="H169" i="4"/>
  <c r="I169" i="4"/>
  <c r="M169" i="4"/>
  <c r="G169" i="4"/>
  <c r="C171" i="4"/>
  <c r="E170" i="4"/>
  <c r="BC88" i="30"/>
  <c r="AS88" i="30" s="1"/>
  <c r="AX88" i="30"/>
  <c r="BC87" i="30"/>
  <c r="AX87" i="30"/>
  <c r="BI87" i="30"/>
  <c r="AI88" i="30"/>
  <c r="BI89" i="30"/>
  <c r="AI89" i="30"/>
  <c r="AN89" i="30"/>
  <c r="Y87" i="30"/>
  <c r="Y85" i="30"/>
  <c r="Y86" i="30"/>
  <c r="Y89" i="30"/>
  <c r="AN87" i="30"/>
  <c r="AD89" i="30"/>
  <c r="AD87" i="30"/>
  <c r="S88" i="30"/>
  <c r="S87" i="30"/>
  <c r="S89" i="30"/>
  <c r="AX55" i="30"/>
  <c r="AX85" i="30"/>
  <c r="AX77" i="30"/>
  <c r="AX75" i="30"/>
  <c r="AX74" i="30"/>
  <c r="B169" i="4"/>
  <c r="D170" i="4"/>
  <c r="AS89" i="30" l="1"/>
  <c r="AS87" i="30"/>
  <c r="K170" i="4"/>
  <c r="L170" i="4"/>
  <c r="M170" i="4"/>
  <c r="I170" i="4"/>
  <c r="G170" i="4"/>
  <c r="H170" i="4"/>
  <c r="J170" i="4"/>
  <c r="C172" i="4"/>
  <c r="E171" i="4"/>
  <c r="AN55" i="30"/>
  <c r="AN85" i="30"/>
  <c r="AS85" i="30" s="1"/>
  <c r="AN77" i="30"/>
  <c r="AS77" i="30" s="1"/>
  <c r="AN75" i="30"/>
  <c r="AS75" i="30" s="1"/>
  <c r="AN74" i="30"/>
  <c r="AS74" i="30" s="1"/>
  <c r="AI55" i="30"/>
  <c r="AI85" i="30"/>
  <c r="AI77" i="30"/>
  <c r="AI75" i="30"/>
  <c r="AI74" i="30"/>
  <c r="AD55" i="30"/>
  <c r="AD85" i="30"/>
  <c r="AD77" i="30"/>
  <c r="AD75" i="30"/>
  <c r="AD74" i="30"/>
  <c r="Y55" i="30"/>
  <c r="Y77" i="30"/>
  <c r="Y75" i="30"/>
  <c r="Y74" i="30"/>
  <c r="D9" i="28"/>
  <c r="B170" i="4"/>
  <c r="D171" i="4"/>
  <c r="C173" i="4" l="1"/>
  <c r="L171" i="4"/>
  <c r="M171" i="4"/>
  <c r="J171" i="4"/>
  <c r="K171" i="4"/>
  <c r="G171" i="4"/>
  <c r="H171" i="4"/>
  <c r="I171" i="4"/>
  <c r="E172" i="4"/>
  <c r="BI55" i="30"/>
  <c r="BI86" i="30"/>
  <c r="BI85" i="30"/>
  <c r="BI77" i="30"/>
  <c r="BI75" i="30"/>
  <c r="BI74" i="30"/>
  <c r="BI33" i="30"/>
  <c r="S55" i="30"/>
  <c r="S85" i="30"/>
  <c r="S77" i="30"/>
  <c r="S75" i="30"/>
  <c r="S74" i="30"/>
  <c r="D172" i="4"/>
  <c r="M172" i="4" l="1"/>
  <c r="G172" i="4"/>
  <c r="K172" i="4"/>
  <c r="H172" i="4"/>
  <c r="I172" i="4"/>
  <c r="J172" i="4"/>
  <c r="L172" i="4"/>
  <c r="C174" i="4"/>
  <c r="E173" i="4"/>
  <c r="D173" i="4"/>
  <c r="B171" i="4"/>
  <c r="C175" i="4" l="1"/>
  <c r="E174" i="4"/>
  <c r="B6" i="27"/>
  <c r="D174" i="4"/>
  <c r="B173" i="4"/>
  <c r="B172" i="4"/>
  <c r="E175" i="4" l="1"/>
  <c r="F174" i="4"/>
  <c r="C176" i="4"/>
  <c r="H19" i="27"/>
  <c r="H18" i="27"/>
  <c r="D175" i="4"/>
  <c r="F175" i="4" l="1"/>
  <c r="C177" i="4"/>
  <c r="E176" i="4"/>
  <c r="B174" i="4"/>
  <c r="D176" i="4"/>
  <c r="E177" i="4" l="1"/>
  <c r="F176" i="4"/>
  <c r="C178" i="4"/>
  <c r="M29" i="24"/>
  <c r="M30" i="24" s="1"/>
  <c r="L29" i="24"/>
  <c r="L30" i="24" s="1"/>
  <c r="K29" i="24"/>
  <c r="K30" i="24" s="1"/>
  <c r="J29" i="24"/>
  <c r="J30" i="24" s="1"/>
  <c r="I29" i="24"/>
  <c r="I30" i="24" s="1"/>
  <c r="H29" i="24"/>
  <c r="H30" i="24" s="1"/>
  <c r="M145" i="14"/>
  <c r="M154" i="14" s="1"/>
  <c r="L145" i="14"/>
  <c r="L154" i="14" s="1"/>
  <c r="K145" i="14"/>
  <c r="K154" i="14" s="1"/>
  <c r="J145" i="14"/>
  <c r="J154" i="14" s="1"/>
  <c r="I145" i="14"/>
  <c r="I154" i="14" s="1"/>
  <c r="H145" i="14"/>
  <c r="H154" i="14" s="1"/>
  <c r="M123" i="14"/>
  <c r="L123" i="14"/>
  <c r="K123" i="14"/>
  <c r="J123" i="14"/>
  <c r="I123" i="14"/>
  <c r="H123" i="14"/>
  <c r="M121" i="14"/>
  <c r="L121" i="14"/>
  <c r="K121" i="14"/>
  <c r="J121" i="14"/>
  <c r="I121" i="14"/>
  <c r="H121" i="14"/>
  <c r="M86" i="14"/>
  <c r="L86" i="14"/>
  <c r="K86" i="14"/>
  <c r="J86" i="14"/>
  <c r="I86" i="14"/>
  <c r="H86" i="14"/>
  <c r="M77" i="14"/>
  <c r="L77" i="14"/>
  <c r="K77" i="14"/>
  <c r="J77" i="14"/>
  <c r="I77" i="14"/>
  <c r="H77" i="14"/>
  <c r="M55" i="14"/>
  <c r="L55" i="14"/>
  <c r="K55" i="14"/>
  <c r="J55" i="14"/>
  <c r="I55" i="14"/>
  <c r="H55" i="14"/>
  <c r="M15" i="14"/>
  <c r="L15" i="14"/>
  <c r="K15" i="14"/>
  <c r="J15" i="14"/>
  <c r="I15" i="14"/>
  <c r="H15" i="14"/>
  <c r="M12" i="14"/>
  <c r="L12" i="14"/>
  <c r="K12" i="14"/>
  <c r="J12" i="14"/>
  <c r="I12" i="14"/>
  <c r="H12" i="14"/>
  <c r="M7" i="14"/>
  <c r="L7" i="14"/>
  <c r="L13" i="14" s="1"/>
  <c r="K7" i="14"/>
  <c r="K13" i="14" s="1"/>
  <c r="J7" i="14"/>
  <c r="I7" i="14"/>
  <c r="H7" i="14"/>
  <c r="H13" i="14" s="1"/>
  <c r="M110" i="4"/>
  <c r="L110" i="4"/>
  <c r="K110" i="4"/>
  <c r="J110" i="4"/>
  <c r="G145" i="28" s="1"/>
  <c r="I110" i="4"/>
  <c r="H110" i="4"/>
  <c r="M17" i="14"/>
  <c r="L17" i="14"/>
  <c r="K17" i="14"/>
  <c r="I17" i="14"/>
  <c r="H17" i="14"/>
  <c r="M67" i="14"/>
  <c r="L67" i="14"/>
  <c r="K67" i="14"/>
  <c r="J67" i="14"/>
  <c r="I67" i="14"/>
  <c r="H67" i="14"/>
  <c r="M73" i="14"/>
  <c r="M135" i="3" s="1"/>
  <c r="K73" i="14"/>
  <c r="K135" i="3" s="1"/>
  <c r="J73" i="14"/>
  <c r="J135" i="3" s="1"/>
  <c r="I73" i="14"/>
  <c r="I135" i="3" s="1"/>
  <c r="G63" i="3"/>
  <c r="G62" i="3"/>
  <c r="B175" i="4"/>
  <c r="D177" i="4"/>
  <c r="F177" i="4" l="1"/>
  <c r="C179" i="4"/>
  <c r="E178" i="4"/>
  <c r="H161" i="3"/>
  <c r="H177" i="3"/>
  <c r="J161" i="3"/>
  <c r="J177" i="3"/>
  <c r="K161" i="3"/>
  <c r="K177" i="3"/>
  <c r="I69" i="14"/>
  <c r="I177" i="3"/>
  <c r="I161" i="3"/>
  <c r="L161" i="3"/>
  <c r="L177" i="3"/>
  <c r="M138" i="14"/>
  <c r="M140" i="14" s="1"/>
  <c r="M161" i="3"/>
  <c r="M177" i="3"/>
  <c r="I13" i="14"/>
  <c r="I14" i="14"/>
  <c r="M13" i="14"/>
  <c r="M14" i="14"/>
  <c r="J111" i="14"/>
  <c r="J118" i="14" s="1"/>
  <c r="J103" i="14"/>
  <c r="J69" i="14"/>
  <c r="J13" i="14"/>
  <c r="J14" i="14"/>
  <c r="L73" i="14"/>
  <c r="L135" i="3" s="1"/>
  <c r="H73" i="14"/>
  <c r="H135" i="3" s="1"/>
  <c r="J17" i="14"/>
  <c r="K14" i="14"/>
  <c r="H166" i="14"/>
  <c r="H138" i="14"/>
  <c r="H140" i="14" s="1"/>
  <c r="H111" i="14"/>
  <c r="H118" i="14" s="1"/>
  <c r="H103" i="14"/>
  <c r="H69" i="14"/>
  <c r="L166" i="14"/>
  <c r="L138" i="14"/>
  <c r="L140" i="14" s="1"/>
  <c r="L111" i="14"/>
  <c r="L118" i="14" s="1"/>
  <c r="L103" i="14"/>
  <c r="L69" i="14"/>
  <c r="K69" i="14"/>
  <c r="H14" i="14"/>
  <c r="L14" i="14"/>
  <c r="I138" i="14"/>
  <c r="I140" i="14" s="1"/>
  <c r="I111" i="14"/>
  <c r="I118" i="14" s="1"/>
  <c r="I103" i="14"/>
  <c r="I166" i="14"/>
  <c r="M166" i="14"/>
  <c r="M111" i="14"/>
  <c r="M118" i="14" s="1"/>
  <c r="M103" i="14"/>
  <c r="M69" i="14"/>
  <c r="K166" i="14"/>
  <c r="K138" i="14"/>
  <c r="K140" i="14" s="1"/>
  <c r="K111" i="14"/>
  <c r="K118" i="14" s="1"/>
  <c r="K103" i="14"/>
  <c r="J166" i="14"/>
  <c r="J138" i="14"/>
  <c r="J140" i="14" s="1"/>
  <c r="D178" i="4"/>
  <c r="B177" i="4"/>
  <c r="B176" i="4"/>
  <c r="C152" i="28" l="1"/>
  <c r="A101" i="27" s="1"/>
  <c r="B101" i="27" s="1"/>
  <c r="E179" i="4"/>
  <c r="F178" i="4"/>
  <c r="C180" i="4"/>
  <c r="B178" i="4"/>
  <c r="D179" i="4"/>
  <c r="D101" i="27" l="1"/>
  <c r="C101" i="27"/>
  <c r="I101" i="27"/>
  <c r="E101" i="27"/>
  <c r="G101" i="27"/>
  <c r="H101" i="27"/>
  <c r="F101" i="27"/>
  <c r="C153" i="28"/>
  <c r="A102" i="27" s="1"/>
  <c r="B102" i="27" s="1"/>
  <c r="F179" i="4"/>
  <c r="E180" i="4"/>
  <c r="C181" i="4"/>
  <c r="D180" i="4"/>
  <c r="B179" i="4"/>
  <c r="D102" i="27" l="1"/>
  <c r="E102" i="27"/>
  <c r="H102" i="27"/>
  <c r="G102" i="27"/>
  <c r="C102" i="27"/>
  <c r="F102" i="27"/>
  <c r="I102" i="27"/>
  <c r="C154" i="28"/>
  <c r="A103" i="27" s="1"/>
  <c r="B103" i="27" s="1"/>
  <c r="F180" i="4"/>
  <c r="E181" i="4"/>
  <c r="C182" i="4"/>
  <c r="B4" i="27" a="1"/>
  <c r="B4" i="27" s="1"/>
  <c r="A7" i="27" s="1"/>
  <c r="B180" i="4"/>
  <c r="D181" i="4"/>
  <c r="D103" i="27" l="1"/>
  <c r="H103" i="27"/>
  <c r="F103" i="27"/>
  <c r="I103" i="27"/>
  <c r="C103" i="27"/>
  <c r="E103" i="27"/>
  <c r="G103" i="27"/>
  <c r="C155" i="28"/>
  <c r="A104" i="27" s="1"/>
  <c r="B104" i="27" s="1"/>
  <c r="F181" i="4"/>
  <c r="E182" i="4"/>
  <c r="C183" i="4"/>
  <c r="B7" i="27"/>
  <c r="A8" i="27"/>
  <c r="L181" i="4"/>
  <c r="D182" i="4"/>
  <c r="K181" i="4"/>
  <c r="D104" i="27" l="1"/>
  <c r="H104" i="27"/>
  <c r="G104" i="27"/>
  <c r="F104" i="27"/>
  <c r="C104" i="27"/>
  <c r="I104" i="27"/>
  <c r="E104" i="27"/>
  <c r="I156" i="28"/>
  <c r="H156" i="28"/>
  <c r="F182" i="4"/>
  <c r="E183" i="4"/>
  <c r="C184" i="4"/>
  <c r="H27" i="24"/>
  <c r="G27" i="24"/>
  <c r="I27" i="24"/>
  <c r="M27" i="24"/>
  <c r="J27" i="24"/>
  <c r="K27" i="24"/>
  <c r="L27" i="24"/>
  <c r="A9" i="27"/>
  <c r="B8" i="27"/>
  <c r="I93" i="29"/>
  <c r="I94" i="29"/>
  <c r="I95" i="29"/>
  <c r="I96" i="29"/>
  <c r="I97" i="29"/>
  <c r="I98" i="29"/>
  <c r="I99" i="29"/>
  <c r="I100" i="29"/>
  <c r="C118" i="29"/>
  <c r="B181" i="4"/>
  <c r="I181" i="4"/>
  <c r="H181" i="4"/>
  <c r="J181" i="4"/>
  <c r="D183" i="4"/>
  <c r="M181" i="4"/>
  <c r="F156" i="28" l="1"/>
  <c r="J156" i="28"/>
  <c r="C156" i="28"/>
  <c r="A105" i="27" s="1"/>
  <c r="B105" i="27" s="1"/>
  <c r="E156" i="28"/>
  <c r="G156" i="28"/>
  <c r="F183" i="4"/>
  <c r="E184" i="4"/>
  <c r="C185" i="4"/>
  <c r="A10" i="27"/>
  <c r="B9" i="27"/>
  <c r="I101" i="29"/>
  <c r="F84" i="29"/>
  <c r="G84" i="29" s="1"/>
  <c r="I84" i="29" s="1"/>
  <c r="F83" i="29"/>
  <c r="G83" i="29" s="1"/>
  <c r="I83" i="29" s="1"/>
  <c r="F82" i="29"/>
  <c r="G82" i="29" s="1"/>
  <c r="I82" i="29" s="1"/>
  <c r="F81" i="29"/>
  <c r="G81" i="29" s="1"/>
  <c r="I81" i="29" s="1"/>
  <c r="F80" i="29"/>
  <c r="G80" i="29" s="1"/>
  <c r="I80" i="29" s="1"/>
  <c r="F79" i="29"/>
  <c r="G79" i="29" s="1"/>
  <c r="I79" i="29" s="1"/>
  <c r="F78" i="29"/>
  <c r="G78" i="29" s="1"/>
  <c r="I78" i="29" s="1"/>
  <c r="F77" i="29"/>
  <c r="G77" i="29" s="1"/>
  <c r="F76" i="29"/>
  <c r="G76" i="29" s="1"/>
  <c r="I59" i="29"/>
  <c r="H59" i="29"/>
  <c r="G59" i="29"/>
  <c r="F59" i="29"/>
  <c r="E59" i="29"/>
  <c r="D59" i="29"/>
  <c r="I58" i="29"/>
  <c r="H58" i="29"/>
  <c r="G58" i="29"/>
  <c r="F58" i="29"/>
  <c r="E58" i="29"/>
  <c r="D58" i="29"/>
  <c r="I57" i="29"/>
  <c r="H57" i="29"/>
  <c r="G57" i="29"/>
  <c r="F57" i="29"/>
  <c r="E57" i="29"/>
  <c r="D57" i="29"/>
  <c r="I56" i="29"/>
  <c r="H56" i="29"/>
  <c r="G56" i="29"/>
  <c r="F56" i="29"/>
  <c r="E56" i="29"/>
  <c r="D56" i="29"/>
  <c r="I55" i="29"/>
  <c r="H55" i="29"/>
  <c r="G55" i="29"/>
  <c r="F55" i="29"/>
  <c r="E55" i="29"/>
  <c r="D55" i="29"/>
  <c r="I54" i="29"/>
  <c r="H54" i="29"/>
  <c r="G54" i="29"/>
  <c r="F54" i="29"/>
  <c r="E54" i="29"/>
  <c r="D54" i="29"/>
  <c r="I53" i="29"/>
  <c r="H53" i="29"/>
  <c r="G53" i="29"/>
  <c r="F53" i="29"/>
  <c r="E53" i="29"/>
  <c r="D53" i="29"/>
  <c r="I52" i="29"/>
  <c r="H52" i="29"/>
  <c r="G52" i="29"/>
  <c r="F52" i="29"/>
  <c r="E52" i="29"/>
  <c r="D52" i="29"/>
  <c r="I50" i="29"/>
  <c r="H50" i="29"/>
  <c r="G50" i="29"/>
  <c r="F50" i="29"/>
  <c r="E50" i="29"/>
  <c r="D50" i="29"/>
  <c r="I49" i="29"/>
  <c r="H49" i="29"/>
  <c r="G49" i="29"/>
  <c r="F49" i="29"/>
  <c r="E49" i="29"/>
  <c r="D49" i="29"/>
  <c r="I48" i="29"/>
  <c r="H48" i="29"/>
  <c r="G48" i="29"/>
  <c r="F48" i="29"/>
  <c r="E48" i="29"/>
  <c r="D48" i="29"/>
  <c r="I38" i="29"/>
  <c r="H38" i="29"/>
  <c r="G38" i="29"/>
  <c r="F38" i="29"/>
  <c r="E38" i="29"/>
  <c r="D38" i="29"/>
  <c r="I33" i="29"/>
  <c r="H33" i="29"/>
  <c r="G33" i="29"/>
  <c r="F33" i="29"/>
  <c r="E33" i="29"/>
  <c r="D33" i="29"/>
  <c r="I32" i="29"/>
  <c r="H32" i="29"/>
  <c r="G32" i="29"/>
  <c r="F32" i="29"/>
  <c r="E32" i="29"/>
  <c r="D32" i="29"/>
  <c r="I31" i="29"/>
  <c r="H31" i="29"/>
  <c r="G31" i="29"/>
  <c r="F31" i="29"/>
  <c r="E31" i="29"/>
  <c r="D31" i="29"/>
  <c r="I28" i="29"/>
  <c r="H28" i="29"/>
  <c r="G28" i="29"/>
  <c r="F28" i="29"/>
  <c r="E28" i="29"/>
  <c r="D28" i="29"/>
  <c r="I26" i="29"/>
  <c r="H26" i="29"/>
  <c r="G26" i="29"/>
  <c r="F26" i="29"/>
  <c r="E26" i="29"/>
  <c r="D26" i="29"/>
  <c r="I24" i="29"/>
  <c r="H24" i="29"/>
  <c r="G24" i="29"/>
  <c r="F24" i="29"/>
  <c r="E24" i="29"/>
  <c r="D24" i="29"/>
  <c r="I22" i="29"/>
  <c r="H22" i="29"/>
  <c r="G22" i="29"/>
  <c r="F22" i="29"/>
  <c r="E22" i="29"/>
  <c r="D22" i="29"/>
  <c r="C59" i="29"/>
  <c r="C58" i="29"/>
  <c r="C57" i="29"/>
  <c r="C56" i="29"/>
  <c r="C55" i="29"/>
  <c r="C54" i="29"/>
  <c r="C53" i="29"/>
  <c r="C52" i="29"/>
  <c r="C50" i="29"/>
  <c r="C49" i="29"/>
  <c r="C48" i="29"/>
  <c r="C38" i="29"/>
  <c r="C33" i="29"/>
  <c r="C32" i="29"/>
  <c r="C31" i="29"/>
  <c r="C28" i="29"/>
  <c r="C26" i="29"/>
  <c r="C24" i="29"/>
  <c r="C22" i="29"/>
  <c r="B182" i="4"/>
  <c r="D184" i="4"/>
  <c r="D105" i="27" l="1"/>
  <c r="F105" i="27"/>
  <c r="G105" i="27"/>
  <c r="I105" i="27"/>
  <c r="E105" i="27"/>
  <c r="C105" i="27"/>
  <c r="H105" i="27"/>
  <c r="C157" i="28"/>
  <c r="A106" i="27" s="1"/>
  <c r="B106" i="27" s="1"/>
  <c r="F184" i="4"/>
  <c r="C186" i="4"/>
  <c r="E185" i="4"/>
  <c r="B10" i="27"/>
  <c r="A11" i="27"/>
  <c r="AF103" i="29"/>
  <c r="AJ103" i="29"/>
  <c r="AK103" i="29"/>
  <c r="AG103" i="29"/>
  <c r="AH103" i="29"/>
  <c r="AI103" i="29"/>
  <c r="AE103" i="29"/>
  <c r="I85" i="29"/>
  <c r="I76" i="29"/>
  <c r="D185" i="4"/>
  <c r="B183" i="4"/>
  <c r="B184" i="4"/>
  <c r="D106" i="27" l="1"/>
  <c r="F106" i="27"/>
  <c r="C106" i="27"/>
  <c r="I106" i="27"/>
  <c r="E106" i="27"/>
  <c r="G106" i="27"/>
  <c r="H106" i="27"/>
  <c r="C150" i="28"/>
  <c r="A99" i="27" s="1"/>
  <c r="B99" i="27" s="1"/>
  <c r="C159" i="28"/>
  <c r="A108" i="27" s="1"/>
  <c r="B108" i="27" s="1"/>
  <c r="C158" i="28"/>
  <c r="A107" i="27" s="1"/>
  <c r="B107" i="27" s="1"/>
  <c r="F185" i="4"/>
  <c r="C187" i="4"/>
  <c r="E186" i="4"/>
  <c r="A12" i="27"/>
  <c r="B11" i="27"/>
  <c r="AF87" i="29"/>
  <c r="AG87" i="29"/>
  <c r="AK87" i="29"/>
  <c r="AE87" i="29"/>
  <c r="AH87" i="29"/>
  <c r="AI87" i="29"/>
  <c r="AJ87" i="29"/>
  <c r="D186" i="4"/>
  <c r="D107" i="27" l="1"/>
  <c r="H107" i="27"/>
  <c r="I107" i="27"/>
  <c r="F107" i="27"/>
  <c r="E107" i="27"/>
  <c r="C107" i="27"/>
  <c r="G107" i="27"/>
  <c r="D99" i="27"/>
  <c r="C99" i="27"/>
  <c r="E99" i="27"/>
  <c r="I99" i="27"/>
  <c r="H99" i="27"/>
  <c r="G99" i="27"/>
  <c r="F99" i="27"/>
  <c r="D108" i="27"/>
  <c r="F108" i="27"/>
  <c r="I108" i="27"/>
  <c r="E108" i="27"/>
  <c r="C108" i="27"/>
  <c r="G108" i="27"/>
  <c r="H108" i="27"/>
  <c r="F186" i="4"/>
  <c r="C188" i="4"/>
  <c r="E187" i="4"/>
  <c r="A13" i="27"/>
  <c r="B12" i="27"/>
  <c r="B185" i="4"/>
  <c r="D187" i="4"/>
  <c r="B186" i="4"/>
  <c r="C151" i="28" l="1"/>
  <c r="A100" i="27" s="1"/>
  <c r="B100" i="27" s="1"/>
  <c r="C161" i="28"/>
  <c r="A110" i="27" s="1"/>
  <c r="B110" i="27" s="1"/>
  <c r="C160" i="28"/>
  <c r="A109" i="27" s="1"/>
  <c r="B109" i="27" s="1"/>
  <c r="F187" i="4"/>
  <c r="C189" i="4"/>
  <c r="E188" i="4"/>
  <c r="B13" i="27"/>
  <c r="A14" i="27"/>
  <c r="D188" i="4"/>
  <c r="B187" i="4"/>
  <c r="D109" i="27" l="1"/>
  <c r="I109" i="27"/>
  <c r="E109" i="27"/>
  <c r="F109" i="27"/>
  <c r="G109" i="27"/>
  <c r="C109" i="27"/>
  <c r="H109" i="27"/>
  <c r="D110" i="27"/>
  <c r="I110" i="27"/>
  <c r="E110" i="27"/>
  <c r="F110" i="27"/>
  <c r="C110" i="27"/>
  <c r="H110" i="27"/>
  <c r="G110" i="27"/>
  <c r="D100" i="27"/>
  <c r="I100" i="27"/>
  <c r="E100" i="27"/>
  <c r="H100" i="27"/>
  <c r="G100" i="27"/>
  <c r="F100" i="27"/>
  <c r="C100" i="27"/>
  <c r="C162" i="28"/>
  <c r="A111" i="27" s="1"/>
  <c r="B111" i="27" s="1"/>
  <c r="F188" i="4"/>
  <c r="C190" i="4"/>
  <c r="E189" i="4"/>
  <c r="B14" i="27"/>
  <c r="A15" i="27"/>
  <c r="B188" i="4"/>
  <c r="D189" i="4"/>
  <c r="D111" i="27" l="1"/>
  <c r="F111" i="27"/>
  <c r="C111" i="27"/>
  <c r="G111" i="27"/>
  <c r="H111" i="27"/>
  <c r="I111" i="27"/>
  <c r="E111" i="27"/>
  <c r="C163" i="28"/>
  <c r="A112" i="27" s="1"/>
  <c r="B112" i="27" s="1"/>
  <c r="F189" i="4"/>
  <c r="C191" i="4"/>
  <c r="E190" i="4"/>
  <c r="B15" i="27"/>
  <c r="A16" i="27"/>
  <c r="D190" i="4"/>
  <c r="D112" i="27" l="1"/>
  <c r="C112" i="27"/>
  <c r="G112" i="27"/>
  <c r="I112" i="27"/>
  <c r="H112" i="27"/>
  <c r="E112" i="27"/>
  <c r="F112" i="27"/>
  <c r="F190" i="4"/>
  <c r="C192" i="4"/>
  <c r="E191" i="4"/>
  <c r="B16" i="27"/>
  <c r="A17" i="27"/>
  <c r="D191" i="4"/>
  <c r="B189" i="4"/>
  <c r="C164" i="28" l="1"/>
  <c r="A113" i="27" s="1"/>
  <c r="B113" i="27" s="1"/>
  <c r="F191" i="4"/>
  <c r="C193" i="4"/>
  <c r="E192" i="4"/>
  <c r="B17" i="27"/>
  <c r="A18" i="27"/>
  <c r="G190" i="3"/>
  <c r="B190" i="4"/>
  <c r="D192" i="4"/>
  <c r="C113" i="27" l="1"/>
  <c r="I113" i="27"/>
  <c r="F113" i="27"/>
  <c r="G113" i="27"/>
  <c r="H113" i="27"/>
  <c r="E113" i="27"/>
  <c r="D113" i="27"/>
  <c r="C165" i="28"/>
  <c r="A114" i="27" s="1"/>
  <c r="B114" i="27" s="1"/>
  <c r="E193" i="4"/>
  <c r="F192" i="4"/>
  <c r="C194" i="4"/>
  <c r="B18" i="27"/>
  <c r="A19" i="27"/>
  <c r="B191" i="4"/>
  <c r="B192" i="4"/>
  <c r="D193" i="4"/>
  <c r="C114" i="27" l="1"/>
  <c r="I114" i="27"/>
  <c r="F114" i="27"/>
  <c r="G114" i="27"/>
  <c r="E114" i="27"/>
  <c r="D114" i="27"/>
  <c r="H114" i="27"/>
  <c r="C167" i="28"/>
  <c r="A116" i="27" s="1"/>
  <c r="B116" i="27" s="1"/>
  <c r="C166" i="28"/>
  <c r="A115" i="27" s="1"/>
  <c r="B115" i="27" s="1"/>
  <c r="F193" i="4"/>
  <c r="E194" i="4"/>
  <c r="C195" i="4"/>
  <c r="A20" i="27"/>
  <c r="B19" i="27"/>
  <c r="I14" i="29"/>
  <c r="H14" i="29"/>
  <c r="G14" i="29"/>
  <c r="F14" i="29"/>
  <c r="E14" i="29"/>
  <c r="D14" i="29"/>
  <c r="G205" i="3"/>
  <c r="G73" i="3"/>
  <c r="C8" i="29" s="1"/>
  <c r="D8" i="29"/>
  <c r="E8" i="29"/>
  <c r="F8" i="29"/>
  <c r="G8" i="29"/>
  <c r="H8" i="29"/>
  <c r="I8" i="29"/>
  <c r="I6" i="29"/>
  <c r="H6" i="29"/>
  <c r="G6" i="29"/>
  <c r="F6" i="29"/>
  <c r="E6" i="29"/>
  <c r="D6" i="29"/>
  <c r="G71" i="3"/>
  <c r="C6" i="29" s="1"/>
  <c r="I5" i="29"/>
  <c r="H5" i="29"/>
  <c r="G5" i="29"/>
  <c r="F5" i="29"/>
  <c r="E5" i="29"/>
  <c r="D5" i="29"/>
  <c r="G70" i="3"/>
  <c r="I4" i="29"/>
  <c r="H4" i="29"/>
  <c r="G4" i="29"/>
  <c r="F4" i="29"/>
  <c r="E4" i="29"/>
  <c r="D4" i="29"/>
  <c r="I3" i="29"/>
  <c r="H3" i="29"/>
  <c r="G3" i="29"/>
  <c r="F3" i="29"/>
  <c r="E3" i="29"/>
  <c r="D3" i="29"/>
  <c r="G68" i="3"/>
  <c r="C3" i="29" s="1"/>
  <c r="G65" i="3"/>
  <c r="D194" i="4"/>
  <c r="C116" i="27" l="1"/>
  <c r="F116" i="27"/>
  <c r="E116" i="27"/>
  <c r="H116" i="27"/>
  <c r="D116" i="27"/>
  <c r="I116" i="27"/>
  <c r="G116" i="27"/>
  <c r="C115" i="27"/>
  <c r="G115" i="27"/>
  <c r="F115" i="27"/>
  <c r="E115" i="27"/>
  <c r="D115" i="27"/>
  <c r="H115" i="27"/>
  <c r="I115" i="27"/>
  <c r="F194" i="4"/>
  <c r="C196" i="4"/>
  <c r="E195" i="4"/>
  <c r="C14" i="29"/>
  <c r="K56" i="29" s="1"/>
  <c r="W56" i="29" s="1"/>
  <c r="AE56" i="29" s="1"/>
  <c r="G110" i="4"/>
  <c r="C5" i="29"/>
  <c r="G72" i="3"/>
  <c r="C4" i="29"/>
  <c r="A21" i="27"/>
  <c r="B20" i="27"/>
  <c r="M63" i="29"/>
  <c r="Y63" i="29" s="1"/>
  <c r="AG63" i="29" s="1"/>
  <c r="M38" i="29"/>
  <c r="Y38" i="29" s="1"/>
  <c r="AG38" i="29" s="1"/>
  <c r="M50" i="29"/>
  <c r="Y50" i="29" s="1"/>
  <c r="AG50" i="29" s="1"/>
  <c r="M48" i="29"/>
  <c r="Y48" i="29" s="1"/>
  <c r="AG48" i="29" s="1"/>
  <c r="M32" i="29"/>
  <c r="Y32" i="29" s="1"/>
  <c r="AG32" i="29" s="1"/>
  <c r="M59" i="29"/>
  <c r="Y59" i="29" s="1"/>
  <c r="AG59" i="29" s="1"/>
  <c r="M64" i="29"/>
  <c r="Y64" i="29" s="1"/>
  <c r="AG64" i="29" s="1"/>
  <c r="M57" i="29"/>
  <c r="Y57" i="29" s="1"/>
  <c r="AG57" i="29" s="1"/>
  <c r="M53" i="29"/>
  <c r="Y53" i="29" s="1"/>
  <c r="AG53" i="29" s="1"/>
  <c r="M56" i="29"/>
  <c r="Y56" i="29" s="1"/>
  <c r="AG56" i="29" s="1"/>
  <c r="M66" i="29"/>
  <c r="Y66" i="29" s="1"/>
  <c r="AG66" i="29" s="1"/>
  <c r="M49" i="29"/>
  <c r="Y49" i="29" s="1"/>
  <c r="AG49" i="29" s="1"/>
  <c r="M62" i="29"/>
  <c r="Y62" i="29" s="1"/>
  <c r="AG62" i="29" s="1"/>
  <c r="M22" i="29"/>
  <c r="Y22" i="29" s="1"/>
  <c r="AG22" i="29" s="1"/>
  <c r="M61" i="29"/>
  <c r="Y61" i="29" s="1"/>
  <c r="AG61" i="29" s="1"/>
  <c r="M33" i="29"/>
  <c r="Y33" i="29" s="1"/>
  <c r="AG33" i="29" s="1"/>
  <c r="M28" i="29"/>
  <c r="Y28" i="29" s="1"/>
  <c r="AG28" i="29" s="1"/>
  <c r="M31" i="29"/>
  <c r="Y31" i="29" s="1"/>
  <c r="AG31" i="29" s="1"/>
  <c r="M54" i="29"/>
  <c r="Y54" i="29" s="1"/>
  <c r="AG54" i="29" s="1"/>
  <c r="M72" i="29"/>
  <c r="Y72" i="29" s="1"/>
  <c r="AG72" i="29" s="1"/>
  <c r="M65" i="29"/>
  <c r="Y65" i="29" s="1"/>
  <c r="AG65" i="29" s="1"/>
  <c r="M52" i="29"/>
  <c r="Y52" i="29" s="1"/>
  <c r="AG52" i="29" s="1"/>
  <c r="M58" i="29"/>
  <c r="Y58" i="29" s="1"/>
  <c r="AG58" i="29" s="1"/>
  <c r="M55" i="29"/>
  <c r="Y55" i="29" s="1"/>
  <c r="AG55" i="29" s="1"/>
  <c r="M26" i="29"/>
  <c r="Y26" i="29" s="1"/>
  <c r="AG26" i="29" s="1"/>
  <c r="M24" i="29"/>
  <c r="Y24" i="29" s="1"/>
  <c r="AG24" i="29" s="1"/>
  <c r="Q22" i="29"/>
  <c r="AC22" i="29" s="1"/>
  <c r="AK22" i="29" s="1"/>
  <c r="Q57" i="29"/>
  <c r="AC57" i="29" s="1"/>
  <c r="AK57" i="29" s="1"/>
  <c r="Q32" i="29"/>
  <c r="AC32" i="29" s="1"/>
  <c r="AK32" i="29" s="1"/>
  <c r="Q52" i="29"/>
  <c r="AC52" i="29" s="1"/>
  <c r="AK52" i="29" s="1"/>
  <c r="Q56" i="29"/>
  <c r="AC56" i="29" s="1"/>
  <c r="AK56" i="29" s="1"/>
  <c r="Q48" i="29"/>
  <c r="AC48" i="29" s="1"/>
  <c r="AK48" i="29" s="1"/>
  <c r="Q55" i="29"/>
  <c r="AC55" i="29" s="1"/>
  <c r="AK55" i="29" s="1"/>
  <c r="Q63" i="29"/>
  <c r="AC63" i="29" s="1"/>
  <c r="AK63" i="29" s="1"/>
  <c r="Q49" i="29"/>
  <c r="AC49" i="29" s="1"/>
  <c r="AK49" i="29" s="1"/>
  <c r="Q61" i="29"/>
  <c r="AC61" i="29" s="1"/>
  <c r="AK61" i="29" s="1"/>
  <c r="Q33" i="29"/>
  <c r="AC33" i="29" s="1"/>
  <c r="AK33" i="29" s="1"/>
  <c r="Q38" i="29"/>
  <c r="AC38" i="29" s="1"/>
  <c r="AK38" i="29" s="1"/>
  <c r="Q62" i="29"/>
  <c r="AC62" i="29" s="1"/>
  <c r="AK62" i="29" s="1"/>
  <c r="Q53" i="29"/>
  <c r="AC53" i="29" s="1"/>
  <c r="AK53" i="29" s="1"/>
  <c r="Q24" i="29"/>
  <c r="AC24" i="29" s="1"/>
  <c r="AK24" i="29" s="1"/>
  <c r="Q66" i="29"/>
  <c r="AC66" i="29" s="1"/>
  <c r="AK66" i="29" s="1"/>
  <c r="Q59" i="29"/>
  <c r="AC59" i="29" s="1"/>
  <c r="AK59" i="29" s="1"/>
  <c r="Q54" i="29"/>
  <c r="AC54" i="29" s="1"/>
  <c r="AK54" i="29" s="1"/>
  <c r="Q64" i="29"/>
  <c r="AC64" i="29" s="1"/>
  <c r="AK64" i="29" s="1"/>
  <c r="Q72" i="29"/>
  <c r="AC72" i="29" s="1"/>
  <c r="AK72" i="29" s="1"/>
  <c r="Q65" i="29"/>
  <c r="AC65" i="29" s="1"/>
  <c r="AK65" i="29" s="1"/>
  <c r="Q26" i="29"/>
  <c r="AC26" i="29" s="1"/>
  <c r="AK26" i="29" s="1"/>
  <c r="Q50" i="29"/>
  <c r="AC50" i="29" s="1"/>
  <c r="AK50" i="29" s="1"/>
  <c r="Q28" i="29"/>
  <c r="AC28" i="29" s="1"/>
  <c r="AK28" i="29" s="1"/>
  <c r="Q58" i="29"/>
  <c r="AC58" i="29" s="1"/>
  <c r="AK58" i="29" s="1"/>
  <c r="Q31" i="29"/>
  <c r="AC31" i="29" s="1"/>
  <c r="AK31" i="29" s="1"/>
  <c r="L63" i="29"/>
  <c r="X63" i="29" s="1"/>
  <c r="AF63" i="29" s="1"/>
  <c r="L62" i="29"/>
  <c r="X62" i="29" s="1"/>
  <c r="AF62" i="29" s="1"/>
  <c r="L31" i="29"/>
  <c r="X31" i="29" s="1"/>
  <c r="AF31" i="29" s="1"/>
  <c r="L38" i="29"/>
  <c r="X38" i="29" s="1"/>
  <c r="AF38" i="29" s="1"/>
  <c r="L56" i="29"/>
  <c r="X56" i="29" s="1"/>
  <c r="AF56" i="29" s="1"/>
  <c r="L48" i="29"/>
  <c r="X48" i="29" s="1"/>
  <c r="AF48" i="29" s="1"/>
  <c r="L50" i="29"/>
  <c r="X50" i="29" s="1"/>
  <c r="AF50" i="29" s="1"/>
  <c r="L24" i="29"/>
  <c r="X24" i="29" s="1"/>
  <c r="AF24" i="29" s="1"/>
  <c r="L32" i="29"/>
  <c r="X32" i="29" s="1"/>
  <c r="AF32" i="29" s="1"/>
  <c r="L22" i="29"/>
  <c r="X22" i="29" s="1"/>
  <c r="AF22" i="29" s="1"/>
  <c r="L33" i="29"/>
  <c r="X33" i="29" s="1"/>
  <c r="AF33" i="29" s="1"/>
  <c r="L49" i="29"/>
  <c r="X49" i="29" s="1"/>
  <c r="AF49" i="29" s="1"/>
  <c r="L58" i="29"/>
  <c r="X58" i="29" s="1"/>
  <c r="AF58" i="29" s="1"/>
  <c r="L59" i="29"/>
  <c r="X59" i="29" s="1"/>
  <c r="AF59" i="29" s="1"/>
  <c r="L26" i="29"/>
  <c r="X26" i="29" s="1"/>
  <c r="AF26" i="29" s="1"/>
  <c r="L65" i="29"/>
  <c r="X65" i="29" s="1"/>
  <c r="AF65" i="29" s="1"/>
  <c r="L55" i="29"/>
  <c r="X55" i="29" s="1"/>
  <c r="AF55" i="29" s="1"/>
  <c r="L28" i="29"/>
  <c r="X28" i="29" s="1"/>
  <c r="AF28" i="29" s="1"/>
  <c r="L66" i="29"/>
  <c r="X66" i="29" s="1"/>
  <c r="AF66" i="29" s="1"/>
  <c r="L53" i="29"/>
  <c r="X53" i="29" s="1"/>
  <c r="AF53" i="29" s="1"/>
  <c r="L64" i="29"/>
  <c r="X64" i="29" s="1"/>
  <c r="AF64" i="29" s="1"/>
  <c r="L57" i="29"/>
  <c r="X57" i="29" s="1"/>
  <c r="AF57" i="29" s="1"/>
  <c r="L54" i="29"/>
  <c r="X54" i="29" s="1"/>
  <c r="AF54" i="29" s="1"/>
  <c r="L61" i="29"/>
  <c r="X61" i="29" s="1"/>
  <c r="AF61" i="29" s="1"/>
  <c r="L52" i="29"/>
  <c r="X52" i="29" s="1"/>
  <c r="AF52" i="29" s="1"/>
  <c r="L72" i="29"/>
  <c r="X72" i="29" s="1"/>
  <c r="AF72" i="29" s="1"/>
  <c r="N66" i="29"/>
  <c r="Z66" i="29" s="1"/>
  <c r="AH66" i="29" s="1"/>
  <c r="N63" i="29"/>
  <c r="Z63" i="29" s="1"/>
  <c r="AH63" i="29" s="1"/>
  <c r="N52" i="29"/>
  <c r="Z52" i="29" s="1"/>
  <c r="AH52" i="29" s="1"/>
  <c r="N28" i="29"/>
  <c r="Z28" i="29" s="1"/>
  <c r="AH28" i="29" s="1"/>
  <c r="N72" i="29"/>
  <c r="Z72" i="29" s="1"/>
  <c r="AH72" i="29" s="1"/>
  <c r="N22" i="29"/>
  <c r="Z22" i="29" s="1"/>
  <c r="AH22" i="29" s="1"/>
  <c r="N56" i="29"/>
  <c r="Z56" i="29" s="1"/>
  <c r="AH56" i="29" s="1"/>
  <c r="N54" i="29"/>
  <c r="Z54" i="29" s="1"/>
  <c r="AH54" i="29" s="1"/>
  <c r="N62" i="29"/>
  <c r="Z62" i="29" s="1"/>
  <c r="AH62" i="29" s="1"/>
  <c r="N24" i="29"/>
  <c r="Z24" i="29" s="1"/>
  <c r="AH24" i="29" s="1"/>
  <c r="N26" i="29"/>
  <c r="Z26" i="29" s="1"/>
  <c r="AH26" i="29" s="1"/>
  <c r="N32" i="29"/>
  <c r="Z32" i="29" s="1"/>
  <c r="AH32" i="29" s="1"/>
  <c r="N55" i="29"/>
  <c r="Z55" i="29" s="1"/>
  <c r="AH55" i="29" s="1"/>
  <c r="N58" i="29"/>
  <c r="Z58" i="29" s="1"/>
  <c r="AH58" i="29" s="1"/>
  <c r="N57" i="29"/>
  <c r="Z57" i="29" s="1"/>
  <c r="AH57" i="29" s="1"/>
  <c r="N53" i="29"/>
  <c r="Z53" i="29" s="1"/>
  <c r="AH53" i="29" s="1"/>
  <c r="N31" i="29"/>
  <c r="Z31" i="29" s="1"/>
  <c r="AH31" i="29" s="1"/>
  <c r="N61" i="29"/>
  <c r="Z61" i="29" s="1"/>
  <c r="AH61" i="29" s="1"/>
  <c r="N48" i="29"/>
  <c r="Z48" i="29" s="1"/>
  <c r="AH48" i="29" s="1"/>
  <c r="N38" i="29"/>
  <c r="Z38" i="29" s="1"/>
  <c r="AH38" i="29" s="1"/>
  <c r="N33" i="29"/>
  <c r="Z33" i="29" s="1"/>
  <c r="AH33" i="29" s="1"/>
  <c r="N49" i="29"/>
  <c r="Z49" i="29" s="1"/>
  <c r="AH49" i="29" s="1"/>
  <c r="N50" i="29"/>
  <c r="Z50" i="29" s="1"/>
  <c r="AH50" i="29" s="1"/>
  <c r="N59" i="29"/>
  <c r="Z59" i="29" s="1"/>
  <c r="AH59" i="29" s="1"/>
  <c r="N65" i="29"/>
  <c r="Z65" i="29" s="1"/>
  <c r="AH65" i="29" s="1"/>
  <c r="N64" i="29"/>
  <c r="Z64" i="29" s="1"/>
  <c r="AH64" i="29" s="1"/>
  <c r="O57" i="29"/>
  <c r="AA57" i="29" s="1"/>
  <c r="AI57" i="29" s="1"/>
  <c r="O63" i="29"/>
  <c r="AA63" i="29" s="1"/>
  <c r="AI63" i="29" s="1"/>
  <c r="O55" i="29"/>
  <c r="AA55" i="29" s="1"/>
  <c r="AI55" i="29" s="1"/>
  <c r="O24" i="29"/>
  <c r="AA24" i="29" s="1"/>
  <c r="AI24" i="29" s="1"/>
  <c r="O32" i="29"/>
  <c r="AA32" i="29" s="1"/>
  <c r="AI32" i="29" s="1"/>
  <c r="O38" i="29"/>
  <c r="AA38" i="29" s="1"/>
  <c r="AI38" i="29" s="1"/>
  <c r="O31" i="29"/>
  <c r="AA31" i="29" s="1"/>
  <c r="AI31" i="29" s="1"/>
  <c r="O48" i="29"/>
  <c r="AA48" i="29" s="1"/>
  <c r="AI48" i="29" s="1"/>
  <c r="O49" i="29"/>
  <c r="AA49" i="29" s="1"/>
  <c r="AI49" i="29" s="1"/>
  <c r="O59" i="29"/>
  <c r="AA59" i="29" s="1"/>
  <c r="AI59" i="29" s="1"/>
  <c r="O54" i="29"/>
  <c r="AA54" i="29" s="1"/>
  <c r="AI54" i="29" s="1"/>
  <c r="O56" i="29"/>
  <c r="AA56" i="29" s="1"/>
  <c r="AI56" i="29" s="1"/>
  <c r="O65" i="29"/>
  <c r="AA65" i="29" s="1"/>
  <c r="AI65" i="29" s="1"/>
  <c r="O72" i="29"/>
  <c r="AA72" i="29" s="1"/>
  <c r="AI72" i="29" s="1"/>
  <c r="O66" i="29"/>
  <c r="AA66" i="29" s="1"/>
  <c r="AI66" i="29" s="1"/>
  <c r="O62" i="29"/>
  <c r="AA62" i="29" s="1"/>
  <c r="AI62" i="29" s="1"/>
  <c r="O53" i="29"/>
  <c r="AA53" i="29" s="1"/>
  <c r="AI53" i="29" s="1"/>
  <c r="O33" i="29"/>
  <c r="AA33" i="29" s="1"/>
  <c r="AI33" i="29" s="1"/>
  <c r="O26" i="29"/>
  <c r="AA26" i="29" s="1"/>
  <c r="AI26" i="29" s="1"/>
  <c r="O50" i="29"/>
  <c r="AA50" i="29" s="1"/>
  <c r="AI50" i="29" s="1"/>
  <c r="O61" i="29"/>
  <c r="AA61" i="29" s="1"/>
  <c r="AI61" i="29" s="1"/>
  <c r="O64" i="29"/>
  <c r="AA64" i="29" s="1"/>
  <c r="AI64" i="29" s="1"/>
  <c r="O58" i="29"/>
  <c r="AA58" i="29" s="1"/>
  <c r="AI58" i="29" s="1"/>
  <c r="O52" i="29"/>
  <c r="AA52" i="29" s="1"/>
  <c r="AI52" i="29" s="1"/>
  <c r="O22" i="29"/>
  <c r="AA22" i="29" s="1"/>
  <c r="AI22" i="29" s="1"/>
  <c r="O28" i="29"/>
  <c r="AA28" i="29" s="1"/>
  <c r="AI28" i="29" s="1"/>
  <c r="P61" i="29"/>
  <c r="AB61" i="29" s="1"/>
  <c r="AJ61" i="29" s="1"/>
  <c r="P33" i="29"/>
  <c r="AB33" i="29" s="1"/>
  <c r="AJ33" i="29" s="1"/>
  <c r="P48" i="29"/>
  <c r="AB48" i="29" s="1"/>
  <c r="AJ48" i="29" s="1"/>
  <c r="P50" i="29"/>
  <c r="AB50" i="29" s="1"/>
  <c r="AJ50" i="29" s="1"/>
  <c r="P49" i="29"/>
  <c r="AB49" i="29" s="1"/>
  <c r="AJ49" i="29" s="1"/>
  <c r="P58" i="29"/>
  <c r="AB58" i="29" s="1"/>
  <c r="AJ58" i="29" s="1"/>
  <c r="P26" i="29"/>
  <c r="AB26" i="29" s="1"/>
  <c r="AJ26" i="29" s="1"/>
  <c r="P31" i="29"/>
  <c r="AB31" i="29" s="1"/>
  <c r="AJ31" i="29" s="1"/>
  <c r="P28" i="29"/>
  <c r="AB28" i="29" s="1"/>
  <c r="AJ28" i="29" s="1"/>
  <c r="P53" i="29"/>
  <c r="AB53" i="29" s="1"/>
  <c r="AJ53" i="29" s="1"/>
  <c r="P32" i="29"/>
  <c r="AB32" i="29" s="1"/>
  <c r="AJ32" i="29" s="1"/>
  <c r="P24" i="29"/>
  <c r="AB24" i="29" s="1"/>
  <c r="AJ24" i="29" s="1"/>
  <c r="P62" i="29"/>
  <c r="AB62" i="29" s="1"/>
  <c r="AJ62" i="29" s="1"/>
  <c r="P66" i="29"/>
  <c r="AB66" i="29" s="1"/>
  <c r="AJ66" i="29" s="1"/>
  <c r="P59" i="29"/>
  <c r="AB59" i="29" s="1"/>
  <c r="AJ59" i="29" s="1"/>
  <c r="P64" i="29"/>
  <c r="AB64" i="29" s="1"/>
  <c r="AJ64" i="29" s="1"/>
  <c r="P38" i="29"/>
  <c r="AB38" i="29" s="1"/>
  <c r="AJ38" i="29" s="1"/>
  <c r="P56" i="29"/>
  <c r="AB56" i="29" s="1"/>
  <c r="AJ56" i="29" s="1"/>
  <c r="P22" i="29"/>
  <c r="AB22" i="29" s="1"/>
  <c r="AJ22" i="29" s="1"/>
  <c r="P55" i="29"/>
  <c r="AB55" i="29" s="1"/>
  <c r="AJ55" i="29" s="1"/>
  <c r="P65" i="29"/>
  <c r="AB65" i="29" s="1"/>
  <c r="AJ65" i="29" s="1"/>
  <c r="P57" i="29"/>
  <c r="AB57" i="29" s="1"/>
  <c r="AJ57" i="29" s="1"/>
  <c r="P72" i="29"/>
  <c r="AB72" i="29" s="1"/>
  <c r="AJ72" i="29" s="1"/>
  <c r="P54" i="29"/>
  <c r="AB54" i="29" s="1"/>
  <c r="AJ54" i="29" s="1"/>
  <c r="P52" i="29"/>
  <c r="AB52" i="29" s="1"/>
  <c r="AJ52" i="29" s="1"/>
  <c r="P63" i="29"/>
  <c r="AB63" i="29" s="1"/>
  <c r="AJ63" i="29" s="1"/>
  <c r="D195" i="4"/>
  <c r="B193" i="4"/>
  <c r="C168" i="28" l="1"/>
  <c r="A117" i="27" s="1"/>
  <c r="B117" i="27" s="1"/>
  <c r="G74" i="3"/>
  <c r="F195" i="4"/>
  <c r="C197" i="4"/>
  <c r="E196" i="4"/>
  <c r="K33" i="29"/>
  <c r="W33" i="29" s="1"/>
  <c r="AE33" i="29" s="1"/>
  <c r="K64" i="29"/>
  <c r="W64" i="29" s="1"/>
  <c r="AE64" i="29" s="1"/>
  <c r="K32" i="29"/>
  <c r="W32" i="29" s="1"/>
  <c r="AE32" i="29" s="1"/>
  <c r="K65" i="29"/>
  <c r="W65" i="29" s="1"/>
  <c r="AE65" i="29" s="1"/>
  <c r="K53" i="29"/>
  <c r="W53" i="29" s="1"/>
  <c r="AE53" i="29" s="1"/>
  <c r="K61" i="29"/>
  <c r="W61" i="29" s="1"/>
  <c r="AE61" i="29" s="1"/>
  <c r="K62" i="29"/>
  <c r="W62" i="29" s="1"/>
  <c r="AE62" i="29" s="1"/>
  <c r="K28" i="29"/>
  <c r="W28" i="29" s="1"/>
  <c r="AE28" i="29" s="1"/>
  <c r="K48" i="29"/>
  <c r="W48" i="29" s="1"/>
  <c r="AE48" i="29" s="1"/>
  <c r="K50" i="29"/>
  <c r="W50" i="29" s="1"/>
  <c r="AE50" i="29" s="1"/>
  <c r="K31" i="29"/>
  <c r="W31" i="29" s="1"/>
  <c r="AE31" i="29" s="1"/>
  <c r="K57" i="29"/>
  <c r="W57" i="29" s="1"/>
  <c r="AE57" i="29" s="1"/>
  <c r="K63" i="29"/>
  <c r="W63" i="29" s="1"/>
  <c r="AE63" i="29" s="1"/>
  <c r="K54" i="29"/>
  <c r="W54" i="29" s="1"/>
  <c r="AE54" i="29" s="1"/>
  <c r="K26" i="29"/>
  <c r="W26" i="29" s="1"/>
  <c r="AE26" i="29" s="1"/>
  <c r="K66" i="29"/>
  <c r="W66" i="29" s="1"/>
  <c r="AE66" i="29" s="1"/>
  <c r="K59" i="29"/>
  <c r="W59" i="29" s="1"/>
  <c r="AE59" i="29" s="1"/>
  <c r="K38" i="29"/>
  <c r="W38" i="29" s="1"/>
  <c r="AE38" i="29" s="1"/>
  <c r="K58" i="29"/>
  <c r="W58" i="29" s="1"/>
  <c r="AE58" i="29" s="1"/>
  <c r="K22" i="29"/>
  <c r="W22" i="29" s="1"/>
  <c r="AE22" i="29" s="1"/>
  <c r="K72" i="29"/>
  <c r="W72" i="29" s="1"/>
  <c r="AE72" i="29" s="1"/>
  <c r="K24" i="29"/>
  <c r="W24" i="29" s="1"/>
  <c r="AE24" i="29" s="1"/>
  <c r="K49" i="29"/>
  <c r="W49" i="29" s="1"/>
  <c r="AE49" i="29" s="1"/>
  <c r="K55" i="29"/>
  <c r="W55" i="29" s="1"/>
  <c r="AE55" i="29" s="1"/>
  <c r="K52" i="29"/>
  <c r="W52" i="29" s="1"/>
  <c r="AE52" i="29" s="1"/>
  <c r="A22" i="27"/>
  <c r="B21" i="27"/>
  <c r="AF60" i="29"/>
  <c r="AH60" i="29"/>
  <c r="AH51" i="29"/>
  <c r="AG60" i="29"/>
  <c r="AI51" i="29"/>
  <c r="AK60" i="29"/>
  <c r="AJ51" i="29"/>
  <c r="AJ60" i="29"/>
  <c r="AI60" i="29"/>
  <c r="AG51" i="29"/>
  <c r="AK51" i="29"/>
  <c r="AF51" i="29"/>
  <c r="D196" i="4"/>
  <c r="B194" i="4"/>
  <c r="G181" i="4"/>
  <c r="B195" i="4"/>
  <c r="C117" i="27" l="1"/>
  <c r="F117" i="27"/>
  <c r="E117" i="27"/>
  <c r="D117" i="27"/>
  <c r="G117" i="27"/>
  <c r="H117" i="27"/>
  <c r="I117" i="27"/>
  <c r="C170" i="28"/>
  <c r="A119" i="27" s="1"/>
  <c r="B119" i="27" s="1"/>
  <c r="C169" i="28"/>
  <c r="A118" i="27" s="1"/>
  <c r="B118" i="27" s="1"/>
  <c r="D156" i="28"/>
  <c r="G75" i="3"/>
  <c r="E197" i="4"/>
  <c r="F196" i="4"/>
  <c r="C198" i="4"/>
  <c r="AE51" i="29"/>
  <c r="AE60" i="29"/>
  <c r="A23" i="27"/>
  <c r="B22" i="27"/>
  <c r="C2" i="30"/>
  <c r="E2" i="30" s="1"/>
  <c r="D37" i="30" s="1"/>
  <c r="H7" i="29"/>
  <c r="G7" i="29"/>
  <c r="F7" i="29"/>
  <c r="E7" i="29"/>
  <c r="D7" i="29"/>
  <c r="C7" i="29"/>
  <c r="I7" i="29"/>
  <c r="B196" i="4"/>
  <c r="D197" i="4"/>
  <c r="C119" i="27" l="1"/>
  <c r="G119" i="27"/>
  <c r="I119" i="27"/>
  <c r="H119" i="27"/>
  <c r="F119" i="27"/>
  <c r="E119" i="27"/>
  <c r="D119" i="27"/>
  <c r="C118" i="27"/>
  <c r="E118" i="27"/>
  <c r="D118" i="27"/>
  <c r="H118" i="27"/>
  <c r="F118" i="27"/>
  <c r="I118" i="27"/>
  <c r="G118" i="27"/>
  <c r="C171" i="28"/>
  <c r="A120" i="27" s="1"/>
  <c r="B120" i="27" s="1"/>
  <c r="D107" i="30"/>
  <c r="C107" i="30" s="1"/>
  <c r="D100" i="30"/>
  <c r="C100" i="30" s="1"/>
  <c r="F197" i="4"/>
  <c r="E198" i="4"/>
  <c r="C199" i="4"/>
  <c r="D14" i="30"/>
  <c r="C14" i="30" s="1"/>
  <c r="C37" i="30"/>
  <c r="D13" i="30"/>
  <c r="D42" i="30"/>
  <c r="C42" i="30" s="1"/>
  <c r="D44" i="30"/>
  <c r="C44" i="30" s="1"/>
  <c r="G23" i="28" s="1"/>
  <c r="D45" i="30"/>
  <c r="D40" i="30"/>
  <c r="C40" i="30" s="1"/>
  <c r="F16" i="3" s="1"/>
  <c r="D49" i="30"/>
  <c r="C49" i="30" s="1"/>
  <c r="D41" i="30"/>
  <c r="C41" i="30" s="1"/>
  <c r="F17" i="3" s="1"/>
  <c r="D76" i="30"/>
  <c r="D43" i="30"/>
  <c r="C43" i="30" s="1"/>
  <c r="D6" i="30"/>
  <c r="C6" i="30" s="1"/>
  <c r="C19" i="30"/>
  <c r="A24" i="27"/>
  <c r="B23" i="27"/>
  <c r="D7" i="30"/>
  <c r="C7" i="30" s="1"/>
  <c r="C3" i="30"/>
  <c r="D87" i="30"/>
  <c r="C87" i="30" s="1"/>
  <c r="D30" i="30"/>
  <c r="C30" i="30" s="1"/>
  <c r="D38" i="30"/>
  <c r="C38" i="30" s="1"/>
  <c r="D67" i="30"/>
  <c r="D88" i="30"/>
  <c r="C88" i="30" s="1"/>
  <c r="D96" i="30"/>
  <c r="C96" i="30" s="1"/>
  <c r="D104" i="30"/>
  <c r="C104" i="30" s="1"/>
  <c r="D17" i="30"/>
  <c r="C17" i="30" s="1"/>
  <c r="F10" i="3" s="1"/>
  <c r="D91" i="30"/>
  <c r="C91" i="30" s="1"/>
  <c r="D29" i="30"/>
  <c r="D95" i="30"/>
  <c r="C95" i="30" s="1"/>
  <c r="D39" i="30"/>
  <c r="C39" i="30" s="1"/>
  <c r="C68" i="30"/>
  <c r="D89" i="30"/>
  <c r="C89" i="30" s="1"/>
  <c r="D97" i="30"/>
  <c r="C97" i="30" s="1"/>
  <c r="D105" i="30"/>
  <c r="C105" i="30" s="1"/>
  <c r="D33" i="30"/>
  <c r="C33" i="30" s="1"/>
  <c r="D70" i="30"/>
  <c r="C70" i="30" s="1"/>
  <c r="D85" i="30"/>
  <c r="C85" i="30" s="1"/>
  <c r="D21" i="30"/>
  <c r="C21" i="30" s="1"/>
  <c r="D16" i="30"/>
  <c r="C16" i="30" s="1"/>
  <c r="F9" i="3" s="1"/>
  <c r="C69" i="30"/>
  <c r="D77" i="30"/>
  <c r="C77" i="30" s="1"/>
  <c r="D84" i="30"/>
  <c r="C84" i="30" s="1"/>
  <c r="D90" i="30"/>
  <c r="C90" i="30" s="1"/>
  <c r="D98" i="30"/>
  <c r="D106" i="30"/>
  <c r="C106" i="30" s="1"/>
  <c r="D78" i="30"/>
  <c r="C78" i="30" s="1"/>
  <c r="D10" i="30"/>
  <c r="C10" i="30" s="1"/>
  <c r="D18" i="30"/>
  <c r="C18" i="30" s="1"/>
  <c r="D34" i="30"/>
  <c r="C34" i="30" s="1"/>
  <c r="D50" i="30"/>
  <c r="C50" i="30" s="1"/>
  <c r="D64" i="30"/>
  <c r="C64" i="30" s="1"/>
  <c r="D71" i="30"/>
  <c r="D86" i="30"/>
  <c r="C86" i="30" s="1"/>
  <c r="D92" i="30"/>
  <c r="C92" i="30" s="1"/>
  <c r="D24" i="30"/>
  <c r="D102" i="30"/>
  <c r="C102" i="30" s="1"/>
  <c r="D103" i="30"/>
  <c r="C103" i="30" s="1"/>
  <c r="D11" i="30"/>
  <c r="C11" i="30" s="1"/>
  <c r="D35" i="30"/>
  <c r="C35" i="30" s="1"/>
  <c r="D23" i="30"/>
  <c r="C23" i="30" s="1"/>
  <c r="G22" i="28" s="1"/>
  <c r="D51" i="30"/>
  <c r="C51" i="30" s="1"/>
  <c r="F23" i="3" s="1"/>
  <c r="D55" i="30"/>
  <c r="C55" i="30" s="1"/>
  <c r="D93" i="30"/>
  <c r="D101" i="30"/>
  <c r="C101" i="30" s="1"/>
  <c r="D12" i="30"/>
  <c r="C12" i="30" s="1"/>
  <c r="D36" i="30"/>
  <c r="C36" i="30" s="1"/>
  <c r="G20" i="28" s="1"/>
  <c r="D54" i="30"/>
  <c r="C54" i="30" s="1"/>
  <c r="D94" i="30"/>
  <c r="C94" i="30" s="1"/>
  <c r="D8" i="30"/>
  <c r="G69" i="29"/>
  <c r="O69" i="29" s="1"/>
  <c r="AA69" i="29" s="1"/>
  <c r="AI69" i="29" s="1"/>
  <c r="G70" i="29"/>
  <c r="O70" i="29" s="1"/>
  <c r="AA70" i="29" s="1"/>
  <c r="AI70" i="29" s="1"/>
  <c r="G68" i="29"/>
  <c r="O68" i="29" s="1"/>
  <c r="AA68" i="29" s="1"/>
  <c r="AI68" i="29" s="1"/>
  <c r="G16" i="29"/>
  <c r="G18" i="29" s="1"/>
  <c r="H70" i="29"/>
  <c r="H69" i="29"/>
  <c r="P69" i="29" s="1"/>
  <c r="AB69" i="29" s="1"/>
  <c r="AJ69" i="29" s="1"/>
  <c r="H68" i="29"/>
  <c r="P68" i="29" s="1"/>
  <c r="AB68" i="29" s="1"/>
  <c r="AJ68" i="29" s="1"/>
  <c r="H16" i="29"/>
  <c r="H18" i="29" s="1"/>
  <c r="I70" i="29"/>
  <c r="Q70" i="29" s="1"/>
  <c r="AC70" i="29" s="1"/>
  <c r="AK70" i="29" s="1"/>
  <c r="I69" i="29"/>
  <c r="Q69" i="29" s="1"/>
  <c r="AC69" i="29" s="1"/>
  <c r="AK69" i="29" s="1"/>
  <c r="I68" i="29"/>
  <c r="Q68" i="29" s="1"/>
  <c r="AC68" i="29" s="1"/>
  <c r="AK68" i="29" s="1"/>
  <c r="I16" i="29"/>
  <c r="I18" i="29" s="1"/>
  <c r="C70" i="29"/>
  <c r="K70" i="29" s="1"/>
  <c r="W70" i="29" s="1"/>
  <c r="AE70" i="29" s="1"/>
  <c r="C69" i="29"/>
  <c r="K69" i="29" s="1"/>
  <c r="W69" i="29" s="1"/>
  <c r="AE69" i="29" s="1"/>
  <c r="C68" i="29"/>
  <c r="K68" i="29" s="1"/>
  <c r="W68" i="29" s="1"/>
  <c r="AE68" i="29" s="1"/>
  <c r="C16" i="29"/>
  <c r="C18" i="29" s="1"/>
  <c r="C35" i="29" s="1"/>
  <c r="D70" i="29"/>
  <c r="L70" i="29" s="1"/>
  <c r="X70" i="29" s="1"/>
  <c r="AF70" i="29" s="1"/>
  <c r="D69" i="29"/>
  <c r="L69" i="29" s="1"/>
  <c r="X69" i="29" s="1"/>
  <c r="AF69" i="29" s="1"/>
  <c r="D16" i="29"/>
  <c r="D18" i="29" s="1"/>
  <c r="D68" i="29"/>
  <c r="L68" i="29" s="1"/>
  <c r="X68" i="29" s="1"/>
  <c r="AF68" i="29" s="1"/>
  <c r="E69" i="29"/>
  <c r="M69" i="29" s="1"/>
  <c r="Y69" i="29" s="1"/>
  <c r="AG69" i="29" s="1"/>
  <c r="E70" i="29"/>
  <c r="M70" i="29" s="1"/>
  <c r="Y70" i="29" s="1"/>
  <c r="AG70" i="29" s="1"/>
  <c r="E16" i="29"/>
  <c r="E18" i="29" s="1"/>
  <c r="E68" i="29"/>
  <c r="M68" i="29" s="1"/>
  <c r="Y68" i="29" s="1"/>
  <c r="AG68" i="29" s="1"/>
  <c r="F70" i="29"/>
  <c r="N70" i="29" s="1"/>
  <c r="Z70" i="29" s="1"/>
  <c r="AH70" i="29" s="1"/>
  <c r="F69" i="29"/>
  <c r="N69" i="29" s="1"/>
  <c r="Z69" i="29" s="1"/>
  <c r="AH69" i="29" s="1"/>
  <c r="F68" i="29"/>
  <c r="N68" i="29" s="1"/>
  <c r="Z68" i="29" s="1"/>
  <c r="AH68" i="29" s="1"/>
  <c r="F16" i="29"/>
  <c r="F18" i="29" s="1"/>
  <c r="G191" i="3"/>
  <c r="G64" i="3"/>
  <c r="G33" i="3"/>
  <c r="B197" i="4"/>
  <c r="F151" i="4"/>
  <c r="F152" i="4"/>
  <c r="D198" i="4"/>
  <c r="C120" i="27" l="1"/>
  <c r="H120" i="27"/>
  <c r="I120" i="27"/>
  <c r="E120" i="27"/>
  <c r="G120" i="27"/>
  <c r="D120" i="27"/>
  <c r="F120" i="27"/>
  <c r="C24" i="30"/>
  <c r="C45" i="30"/>
  <c r="C13" i="30"/>
  <c r="G14" i="28" s="1"/>
  <c r="C172" i="28"/>
  <c r="C29" i="30"/>
  <c r="C28" i="30" s="1"/>
  <c r="I85" i="3"/>
  <c r="J85" i="3"/>
  <c r="L85" i="3"/>
  <c r="M85" i="3"/>
  <c r="H85" i="3"/>
  <c r="K85" i="3"/>
  <c r="G85" i="3"/>
  <c r="C10" i="28"/>
  <c r="C8" i="30"/>
  <c r="D9" i="30" s="1"/>
  <c r="F198" i="4"/>
  <c r="E199" i="4"/>
  <c r="C200" i="4"/>
  <c r="C67" i="30"/>
  <c r="D65" i="30"/>
  <c r="C65" i="30" s="1"/>
  <c r="H48" i="3"/>
  <c r="J48" i="3"/>
  <c r="K48" i="3"/>
  <c r="I48" i="3"/>
  <c r="L48" i="3"/>
  <c r="M48" i="3"/>
  <c r="I44" i="3"/>
  <c r="H44" i="3"/>
  <c r="J44" i="3"/>
  <c r="K44" i="3"/>
  <c r="L44" i="3"/>
  <c r="M44" i="3"/>
  <c r="F24" i="3"/>
  <c r="F15" i="3"/>
  <c r="F11" i="3"/>
  <c r="D22" i="3"/>
  <c r="J51" i="14"/>
  <c r="L51" i="14"/>
  <c r="H51" i="14"/>
  <c r="G51" i="14"/>
  <c r="I51" i="14"/>
  <c r="K51" i="14"/>
  <c r="M51" i="14"/>
  <c r="D21" i="3"/>
  <c r="F21" i="3" s="1"/>
  <c r="J50" i="14"/>
  <c r="K50" i="14"/>
  <c r="L50" i="14"/>
  <c r="H50" i="14"/>
  <c r="I50" i="14"/>
  <c r="G50" i="14"/>
  <c r="M50" i="14"/>
  <c r="A25" i="27"/>
  <c r="B24" i="27"/>
  <c r="G44" i="3"/>
  <c r="D14" i="28"/>
  <c r="E23" i="2"/>
  <c r="H19" i="28"/>
  <c r="H11" i="28"/>
  <c r="E16" i="2"/>
  <c r="E22" i="2"/>
  <c r="H18" i="28"/>
  <c r="E28" i="2"/>
  <c r="H25" i="28"/>
  <c r="H24" i="28"/>
  <c r="E27" i="2"/>
  <c r="H23" i="28"/>
  <c r="E26" i="2"/>
  <c r="H22" i="28"/>
  <c r="E25" i="2"/>
  <c r="E19" i="2"/>
  <c r="H14" i="28"/>
  <c r="E18" i="2"/>
  <c r="H13" i="28"/>
  <c r="E24" i="2"/>
  <c r="H20" i="28"/>
  <c r="H12" i="28"/>
  <c r="E17" i="2"/>
  <c r="D22" i="28"/>
  <c r="E23" i="3"/>
  <c r="D19" i="28"/>
  <c r="D18" i="3"/>
  <c r="G48" i="3"/>
  <c r="E11" i="3"/>
  <c r="E16" i="3"/>
  <c r="E10" i="3"/>
  <c r="D12" i="3"/>
  <c r="D12" i="28"/>
  <c r="E17" i="3"/>
  <c r="K12" i="24"/>
  <c r="J12" i="24"/>
  <c r="I12" i="24"/>
  <c r="H12" i="24"/>
  <c r="G12" i="24"/>
  <c r="L12" i="24"/>
  <c r="M12" i="24"/>
  <c r="D24" i="28"/>
  <c r="E15" i="3"/>
  <c r="AE67" i="29"/>
  <c r="AF67" i="29"/>
  <c r="AH67" i="29"/>
  <c r="AG67" i="29"/>
  <c r="C43" i="29"/>
  <c r="K43" i="29" s="1"/>
  <c r="W43" i="29" s="1"/>
  <c r="AE43" i="29" s="1"/>
  <c r="C42" i="29"/>
  <c r="K42" i="29" s="1"/>
  <c r="W42" i="29" s="1"/>
  <c r="AE42" i="29" s="1"/>
  <c r="C37" i="29"/>
  <c r="K37" i="29" s="1"/>
  <c r="W37" i="29" s="1"/>
  <c r="AE37" i="29" s="1"/>
  <c r="C46" i="29"/>
  <c r="K46" i="29" s="1"/>
  <c r="W46" i="29" s="1"/>
  <c r="AE46" i="29" s="1"/>
  <c r="C45" i="29"/>
  <c r="K45" i="29" s="1"/>
  <c r="W45" i="29" s="1"/>
  <c r="AE45" i="29" s="1"/>
  <c r="C25" i="29"/>
  <c r="K25" i="29" s="1"/>
  <c r="W25" i="29" s="1"/>
  <c r="AE25" i="29" s="1"/>
  <c r="C34" i="29"/>
  <c r="K34" i="29" s="1"/>
  <c r="W34" i="29" s="1"/>
  <c r="AE34" i="29" s="1"/>
  <c r="C27" i="29"/>
  <c r="K27" i="29" s="1"/>
  <c r="W27" i="29" s="1"/>
  <c r="AE27" i="29" s="1"/>
  <c r="C41" i="29"/>
  <c r="K41" i="29" s="1"/>
  <c r="W41" i="29" s="1"/>
  <c r="AE41" i="29" s="1"/>
  <c r="C40" i="29"/>
  <c r="K40" i="29" s="1"/>
  <c r="W40" i="29" s="1"/>
  <c r="AE40" i="29" s="1"/>
  <c r="C29" i="29"/>
  <c r="C39" i="29"/>
  <c r="K39" i="29" s="1"/>
  <c r="W39" i="29" s="1"/>
  <c r="AE39" i="29" s="1"/>
  <c r="C44" i="29"/>
  <c r="K44" i="29" s="1"/>
  <c r="W44" i="29" s="1"/>
  <c r="AE44" i="29" s="1"/>
  <c r="C30" i="29"/>
  <c r="K30" i="29" s="1"/>
  <c r="W30" i="29" s="1"/>
  <c r="AE30" i="29" s="1"/>
  <c r="K35" i="29"/>
  <c r="C23" i="29"/>
  <c r="K23" i="29" s="1"/>
  <c r="W23" i="29" s="1"/>
  <c r="AE23" i="29" s="1"/>
  <c r="C47" i="29"/>
  <c r="K47" i="29" s="1"/>
  <c r="W47" i="29" s="1"/>
  <c r="AE47" i="29" s="1"/>
  <c r="C36" i="29"/>
  <c r="K36" i="29" s="1"/>
  <c r="W36" i="29" s="1"/>
  <c r="AE36" i="29" s="1"/>
  <c r="H77" i="29"/>
  <c r="I77" i="29" s="1"/>
  <c r="E39" i="29"/>
  <c r="M39" i="29" s="1"/>
  <c r="Y39" i="29" s="1"/>
  <c r="AG39" i="29" s="1"/>
  <c r="E37" i="29"/>
  <c r="M37" i="29" s="1"/>
  <c r="Y37" i="29" s="1"/>
  <c r="AG37" i="29" s="1"/>
  <c r="E36" i="29"/>
  <c r="M36" i="29" s="1"/>
  <c r="Y36" i="29" s="1"/>
  <c r="AG36" i="29" s="1"/>
  <c r="E46" i="29"/>
  <c r="M46" i="29" s="1"/>
  <c r="Y46" i="29" s="1"/>
  <c r="AG46" i="29" s="1"/>
  <c r="E35" i="29"/>
  <c r="M35" i="29" s="1"/>
  <c r="Y35" i="29" s="1"/>
  <c r="AG35" i="29" s="1"/>
  <c r="E25" i="29"/>
  <c r="M25" i="29" s="1"/>
  <c r="Y25" i="29" s="1"/>
  <c r="AG25" i="29" s="1"/>
  <c r="E34" i="29"/>
  <c r="M34" i="29" s="1"/>
  <c r="Y34" i="29" s="1"/>
  <c r="AG34" i="29" s="1"/>
  <c r="E29" i="29"/>
  <c r="E27" i="29"/>
  <c r="M27" i="29" s="1"/>
  <c r="Y27" i="29" s="1"/>
  <c r="AG27" i="29" s="1"/>
  <c r="E45" i="29"/>
  <c r="M45" i="29" s="1"/>
  <c r="Y45" i="29" s="1"/>
  <c r="AG45" i="29" s="1"/>
  <c r="E23" i="29"/>
  <c r="M23" i="29" s="1"/>
  <c r="Y23" i="29" s="1"/>
  <c r="AG23" i="29" s="1"/>
  <c r="E30" i="29"/>
  <c r="M30" i="29" s="1"/>
  <c r="Y30" i="29" s="1"/>
  <c r="AG30" i="29" s="1"/>
  <c r="E44" i="29"/>
  <c r="M44" i="29" s="1"/>
  <c r="Y44" i="29" s="1"/>
  <c r="AG44" i="29" s="1"/>
  <c r="E41" i="29"/>
  <c r="M41" i="29" s="1"/>
  <c r="Y41" i="29" s="1"/>
  <c r="AG41" i="29" s="1"/>
  <c r="E40" i="29"/>
  <c r="M40" i="29" s="1"/>
  <c r="Y40" i="29" s="1"/>
  <c r="AG40" i="29" s="1"/>
  <c r="E42" i="29"/>
  <c r="M42" i="29" s="1"/>
  <c r="Y42" i="29" s="1"/>
  <c r="AG42" i="29" s="1"/>
  <c r="E47" i="29"/>
  <c r="M47" i="29" s="1"/>
  <c r="Y47" i="29" s="1"/>
  <c r="AG47" i="29" s="1"/>
  <c r="E43" i="29"/>
  <c r="M43" i="29" s="1"/>
  <c r="Y43" i="29" s="1"/>
  <c r="AG43" i="29" s="1"/>
  <c r="P70" i="29"/>
  <c r="AB70" i="29" s="1"/>
  <c r="AJ70" i="29" s="1"/>
  <c r="AJ67" i="29" s="1"/>
  <c r="D43" i="29"/>
  <c r="L43" i="29" s="1"/>
  <c r="X43" i="29" s="1"/>
  <c r="AF43" i="29" s="1"/>
  <c r="D40" i="29"/>
  <c r="L40" i="29" s="1"/>
  <c r="X40" i="29" s="1"/>
  <c r="AF40" i="29" s="1"/>
  <c r="D34" i="29"/>
  <c r="L34" i="29" s="1"/>
  <c r="X34" i="29" s="1"/>
  <c r="AF34" i="29" s="1"/>
  <c r="D45" i="29"/>
  <c r="L45" i="29" s="1"/>
  <c r="X45" i="29" s="1"/>
  <c r="AF45" i="29" s="1"/>
  <c r="D47" i="29"/>
  <c r="L47" i="29" s="1"/>
  <c r="X47" i="29" s="1"/>
  <c r="AF47" i="29" s="1"/>
  <c r="D36" i="29"/>
  <c r="L36" i="29" s="1"/>
  <c r="X36" i="29" s="1"/>
  <c r="AF36" i="29" s="1"/>
  <c r="D41" i="29"/>
  <c r="L41" i="29" s="1"/>
  <c r="X41" i="29" s="1"/>
  <c r="AF41" i="29" s="1"/>
  <c r="D23" i="29"/>
  <c r="L23" i="29" s="1"/>
  <c r="X23" i="29" s="1"/>
  <c r="AF23" i="29" s="1"/>
  <c r="D35" i="29"/>
  <c r="L35" i="29" s="1"/>
  <c r="X35" i="29" s="1"/>
  <c r="AF35" i="29" s="1"/>
  <c r="D44" i="29"/>
  <c r="L44" i="29" s="1"/>
  <c r="X44" i="29" s="1"/>
  <c r="AF44" i="29" s="1"/>
  <c r="D46" i="29"/>
  <c r="L46" i="29" s="1"/>
  <c r="X46" i="29" s="1"/>
  <c r="AF46" i="29" s="1"/>
  <c r="D27" i="29"/>
  <c r="L27" i="29" s="1"/>
  <c r="X27" i="29" s="1"/>
  <c r="AF27" i="29" s="1"/>
  <c r="D29" i="29"/>
  <c r="D42" i="29"/>
  <c r="L42" i="29" s="1"/>
  <c r="X42" i="29" s="1"/>
  <c r="AF42" i="29" s="1"/>
  <c r="D37" i="29"/>
  <c r="L37" i="29" s="1"/>
  <c r="X37" i="29" s="1"/>
  <c r="AF37" i="29" s="1"/>
  <c r="D39" i="29"/>
  <c r="L39" i="29" s="1"/>
  <c r="X39" i="29" s="1"/>
  <c r="AF39" i="29" s="1"/>
  <c r="D25" i="29"/>
  <c r="L25" i="29" s="1"/>
  <c r="X25" i="29" s="1"/>
  <c r="AF25" i="29" s="1"/>
  <c r="D30" i="29"/>
  <c r="L30" i="29" s="1"/>
  <c r="X30" i="29" s="1"/>
  <c r="AF30" i="29" s="1"/>
  <c r="AK67" i="29"/>
  <c r="AI67" i="29"/>
  <c r="I42" i="29"/>
  <c r="Q42" i="29" s="1"/>
  <c r="AC42" i="29" s="1"/>
  <c r="AK42" i="29" s="1"/>
  <c r="I39" i="29"/>
  <c r="Q39" i="29" s="1"/>
  <c r="AC39" i="29" s="1"/>
  <c r="AK39" i="29" s="1"/>
  <c r="I46" i="29"/>
  <c r="Q46" i="29" s="1"/>
  <c r="AC46" i="29" s="1"/>
  <c r="AK46" i="29" s="1"/>
  <c r="I34" i="29"/>
  <c r="Q34" i="29" s="1"/>
  <c r="AC34" i="29" s="1"/>
  <c r="AK34" i="29" s="1"/>
  <c r="I35" i="29"/>
  <c r="Q35" i="29" s="1"/>
  <c r="AC35" i="29" s="1"/>
  <c r="AK35" i="29" s="1"/>
  <c r="I25" i="29"/>
  <c r="Q25" i="29" s="1"/>
  <c r="AC25" i="29" s="1"/>
  <c r="AK25" i="29" s="1"/>
  <c r="I44" i="29"/>
  <c r="Q44" i="29" s="1"/>
  <c r="AC44" i="29" s="1"/>
  <c r="AK44" i="29" s="1"/>
  <c r="I45" i="29"/>
  <c r="Q45" i="29" s="1"/>
  <c r="AC45" i="29" s="1"/>
  <c r="AK45" i="29" s="1"/>
  <c r="I30" i="29"/>
  <c r="Q30" i="29" s="1"/>
  <c r="AC30" i="29" s="1"/>
  <c r="AK30" i="29" s="1"/>
  <c r="I27" i="29"/>
  <c r="Q27" i="29" s="1"/>
  <c r="AC27" i="29" s="1"/>
  <c r="AK27" i="29" s="1"/>
  <c r="I41" i="29"/>
  <c r="Q41" i="29" s="1"/>
  <c r="AC41" i="29" s="1"/>
  <c r="AK41" i="29" s="1"/>
  <c r="I40" i="29"/>
  <c r="Q40" i="29" s="1"/>
  <c r="AC40" i="29" s="1"/>
  <c r="AK40" i="29" s="1"/>
  <c r="I43" i="29"/>
  <c r="Q43" i="29" s="1"/>
  <c r="AC43" i="29" s="1"/>
  <c r="AK43" i="29" s="1"/>
  <c r="I37" i="29"/>
  <c r="Q37" i="29" s="1"/>
  <c r="AC37" i="29" s="1"/>
  <c r="AK37" i="29" s="1"/>
  <c r="I23" i="29"/>
  <c r="Q23" i="29" s="1"/>
  <c r="AC23" i="29" s="1"/>
  <c r="AK23" i="29" s="1"/>
  <c r="I29" i="29"/>
  <c r="I47" i="29"/>
  <c r="Q47" i="29" s="1"/>
  <c r="AC47" i="29" s="1"/>
  <c r="AK47" i="29" s="1"/>
  <c r="I36" i="29"/>
  <c r="Q36" i="29" s="1"/>
  <c r="AC36" i="29" s="1"/>
  <c r="AK36" i="29" s="1"/>
  <c r="H44" i="29"/>
  <c r="P44" i="29" s="1"/>
  <c r="AB44" i="29" s="1"/>
  <c r="AJ44" i="29" s="1"/>
  <c r="H23" i="29"/>
  <c r="P23" i="29" s="1"/>
  <c r="AB23" i="29" s="1"/>
  <c r="AJ23" i="29" s="1"/>
  <c r="H30" i="29"/>
  <c r="P30" i="29" s="1"/>
  <c r="AB30" i="29" s="1"/>
  <c r="AJ30" i="29" s="1"/>
  <c r="H39" i="29"/>
  <c r="P39" i="29" s="1"/>
  <c r="AB39" i="29" s="1"/>
  <c r="AJ39" i="29" s="1"/>
  <c r="H40" i="29"/>
  <c r="P40" i="29" s="1"/>
  <c r="AB40" i="29" s="1"/>
  <c r="AJ40" i="29" s="1"/>
  <c r="H35" i="29"/>
  <c r="P35" i="29" s="1"/>
  <c r="AB35" i="29" s="1"/>
  <c r="AJ35" i="29" s="1"/>
  <c r="H25" i="29"/>
  <c r="P25" i="29" s="1"/>
  <c r="AB25" i="29" s="1"/>
  <c r="AJ25" i="29" s="1"/>
  <c r="H36" i="29"/>
  <c r="P36" i="29" s="1"/>
  <c r="AB36" i="29" s="1"/>
  <c r="AJ36" i="29" s="1"/>
  <c r="H47" i="29"/>
  <c r="P47" i="29" s="1"/>
  <c r="AB47" i="29" s="1"/>
  <c r="AJ47" i="29" s="1"/>
  <c r="H45" i="29"/>
  <c r="P45" i="29" s="1"/>
  <c r="AB45" i="29" s="1"/>
  <c r="AJ45" i="29" s="1"/>
  <c r="H29" i="29"/>
  <c r="H42" i="29"/>
  <c r="P42" i="29" s="1"/>
  <c r="AB42" i="29" s="1"/>
  <c r="AJ42" i="29" s="1"/>
  <c r="H46" i="29"/>
  <c r="P46" i="29" s="1"/>
  <c r="AB46" i="29" s="1"/>
  <c r="AJ46" i="29" s="1"/>
  <c r="H34" i="29"/>
  <c r="P34" i="29" s="1"/>
  <c r="AB34" i="29" s="1"/>
  <c r="AJ34" i="29" s="1"/>
  <c r="H41" i="29"/>
  <c r="P41" i="29" s="1"/>
  <c r="AB41" i="29" s="1"/>
  <c r="AJ41" i="29" s="1"/>
  <c r="H27" i="29"/>
  <c r="P27" i="29" s="1"/>
  <c r="AB27" i="29" s="1"/>
  <c r="AJ27" i="29" s="1"/>
  <c r="H43" i="29"/>
  <c r="P43" i="29" s="1"/>
  <c r="AB43" i="29" s="1"/>
  <c r="AJ43" i="29" s="1"/>
  <c r="H37" i="29"/>
  <c r="P37" i="29" s="1"/>
  <c r="AB37" i="29" s="1"/>
  <c r="AJ37" i="29" s="1"/>
  <c r="F35" i="29"/>
  <c r="N35" i="29" s="1"/>
  <c r="Z35" i="29" s="1"/>
  <c r="AH35" i="29" s="1"/>
  <c r="F30" i="29"/>
  <c r="N30" i="29" s="1"/>
  <c r="Z30" i="29" s="1"/>
  <c r="AH30" i="29" s="1"/>
  <c r="F27" i="29"/>
  <c r="N27" i="29" s="1"/>
  <c r="Z27" i="29" s="1"/>
  <c r="AH27" i="29" s="1"/>
  <c r="F42" i="29"/>
  <c r="N42" i="29" s="1"/>
  <c r="Z42" i="29" s="1"/>
  <c r="AH42" i="29" s="1"/>
  <c r="F43" i="29"/>
  <c r="N43" i="29" s="1"/>
  <c r="Z43" i="29" s="1"/>
  <c r="AH43" i="29" s="1"/>
  <c r="F37" i="29"/>
  <c r="N37" i="29" s="1"/>
  <c r="Z37" i="29" s="1"/>
  <c r="AH37" i="29" s="1"/>
  <c r="F23" i="29"/>
  <c r="N23" i="29" s="1"/>
  <c r="Z23" i="29" s="1"/>
  <c r="AH23" i="29" s="1"/>
  <c r="F36" i="29"/>
  <c r="N36" i="29" s="1"/>
  <c r="Z36" i="29" s="1"/>
  <c r="AH36" i="29" s="1"/>
  <c r="F44" i="29"/>
  <c r="N44" i="29" s="1"/>
  <c r="Z44" i="29" s="1"/>
  <c r="AH44" i="29" s="1"/>
  <c r="F34" i="29"/>
  <c r="N34" i="29" s="1"/>
  <c r="Z34" i="29" s="1"/>
  <c r="AH34" i="29" s="1"/>
  <c r="F25" i="29"/>
  <c r="N25" i="29" s="1"/>
  <c r="Z25" i="29" s="1"/>
  <c r="AH25" i="29" s="1"/>
  <c r="F29" i="29"/>
  <c r="F47" i="29"/>
  <c r="N47" i="29" s="1"/>
  <c r="Z47" i="29" s="1"/>
  <c r="AH47" i="29" s="1"/>
  <c r="F45" i="29"/>
  <c r="N45" i="29" s="1"/>
  <c r="Z45" i="29" s="1"/>
  <c r="AH45" i="29" s="1"/>
  <c r="F46" i="29"/>
  <c r="N46" i="29" s="1"/>
  <c r="Z46" i="29" s="1"/>
  <c r="AH46" i="29" s="1"/>
  <c r="F40" i="29"/>
  <c r="N40" i="29" s="1"/>
  <c r="Z40" i="29" s="1"/>
  <c r="AH40" i="29" s="1"/>
  <c r="F39" i="29"/>
  <c r="N39" i="29" s="1"/>
  <c r="Z39" i="29" s="1"/>
  <c r="AH39" i="29" s="1"/>
  <c r="F41" i="29"/>
  <c r="N41" i="29" s="1"/>
  <c r="Z41" i="29" s="1"/>
  <c r="AH41" i="29" s="1"/>
  <c r="G40" i="29"/>
  <c r="G30" i="29"/>
  <c r="O30" i="29" s="1"/>
  <c r="AA30" i="29" s="1"/>
  <c r="AI30" i="29" s="1"/>
  <c r="G47" i="29"/>
  <c r="O47" i="29" s="1"/>
  <c r="AA47" i="29" s="1"/>
  <c r="AI47" i="29" s="1"/>
  <c r="G36" i="29"/>
  <c r="O36" i="29" s="1"/>
  <c r="AA36" i="29" s="1"/>
  <c r="AI36" i="29" s="1"/>
  <c r="G34" i="29"/>
  <c r="O34" i="29" s="1"/>
  <c r="AA34" i="29" s="1"/>
  <c r="AI34" i="29" s="1"/>
  <c r="G35" i="29"/>
  <c r="O35" i="29" s="1"/>
  <c r="AA35" i="29" s="1"/>
  <c r="AI35" i="29" s="1"/>
  <c r="G44" i="29"/>
  <c r="O44" i="29" s="1"/>
  <c r="AA44" i="29" s="1"/>
  <c r="AI44" i="29" s="1"/>
  <c r="G23" i="29"/>
  <c r="O23" i="29" s="1"/>
  <c r="AA23" i="29" s="1"/>
  <c r="AI23" i="29" s="1"/>
  <c r="G45" i="29"/>
  <c r="O45" i="29" s="1"/>
  <c r="AA45" i="29" s="1"/>
  <c r="AI45" i="29" s="1"/>
  <c r="G39" i="29"/>
  <c r="O39" i="29" s="1"/>
  <c r="AA39" i="29" s="1"/>
  <c r="AI39" i="29" s="1"/>
  <c r="G41" i="29"/>
  <c r="O41" i="29" s="1"/>
  <c r="AA41" i="29" s="1"/>
  <c r="AI41" i="29" s="1"/>
  <c r="G27" i="29"/>
  <c r="O27" i="29" s="1"/>
  <c r="AA27" i="29" s="1"/>
  <c r="AI27" i="29" s="1"/>
  <c r="G37" i="29"/>
  <c r="O37" i="29" s="1"/>
  <c r="AA37" i="29" s="1"/>
  <c r="AI37" i="29" s="1"/>
  <c r="G42" i="29"/>
  <c r="O42" i="29" s="1"/>
  <c r="AA42" i="29" s="1"/>
  <c r="AI42" i="29" s="1"/>
  <c r="G29" i="29"/>
  <c r="G46" i="29"/>
  <c r="O46" i="29" s="1"/>
  <c r="AA46" i="29" s="1"/>
  <c r="AI46" i="29" s="1"/>
  <c r="G25" i="29"/>
  <c r="O25" i="29" s="1"/>
  <c r="AA25" i="29" s="1"/>
  <c r="AI25" i="29" s="1"/>
  <c r="G43" i="29"/>
  <c r="O43" i="29" s="1"/>
  <c r="AA43" i="29" s="1"/>
  <c r="AI43" i="29" s="1"/>
  <c r="F153" i="4"/>
  <c r="D199" i="4"/>
  <c r="B198" i="4"/>
  <c r="D13" i="28" l="1"/>
  <c r="E21" i="3"/>
  <c r="E22" i="3"/>
  <c r="D20" i="28"/>
  <c r="C5" i="30"/>
  <c r="C16" i="28"/>
  <c r="D62" i="30"/>
  <c r="C62" i="30" s="1"/>
  <c r="D73" i="30"/>
  <c r="C73" i="30" s="1"/>
  <c r="D72" i="30"/>
  <c r="C72" i="30" s="1"/>
  <c r="D63" i="30"/>
  <c r="C63" i="30" s="1"/>
  <c r="D74" i="30"/>
  <c r="C74" i="30" s="1"/>
  <c r="D60" i="30"/>
  <c r="C60" i="30" s="1"/>
  <c r="G46" i="3" s="1"/>
  <c r="D31" i="30"/>
  <c r="C31" i="30" s="1"/>
  <c r="H42" i="3" s="1"/>
  <c r="D61" i="30"/>
  <c r="C61" i="30" s="1"/>
  <c r="H47" i="3" s="1"/>
  <c r="H150" i="3" s="1"/>
  <c r="D75" i="30"/>
  <c r="C75" i="30" s="1"/>
  <c r="D99" i="30"/>
  <c r="C99" i="30" s="1"/>
  <c r="E21" i="2" s="1"/>
  <c r="I40" i="3"/>
  <c r="H40" i="3"/>
  <c r="D11" i="28"/>
  <c r="K40" i="3"/>
  <c r="M40" i="3"/>
  <c r="L40" i="3"/>
  <c r="J40" i="3"/>
  <c r="G40" i="3"/>
  <c r="F199" i="4"/>
  <c r="E200" i="4"/>
  <c r="C201" i="4"/>
  <c r="W35" i="29"/>
  <c r="AE35" i="29" s="1"/>
  <c r="F22" i="3"/>
  <c r="A26" i="27"/>
  <c r="B25" i="27"/>
  <c r="G192" i="3"/>
  <c r="D18" i="28"/>
  <c r="AH102" i="29"/>
  <c r="AH104" i="29" s="1"/>
  <c r="J179" i="3" s="1"/>
  <c r="N29" i="29"/>
  <c r="Z29" i="29" s="1"/>
  <c r="AH29" i="29" s="1"/>
  <c r="AH21" i="29" s="1"/>
  <c r="AH73" i="29" s="1"/>
  <c r="J116" i="1" s="1"/>
  <c r="AH86" i="29"/>
  <c r="AH88" i="29" s="1"/>
  <c r="J163" i="3" s="1"/>
  <c r="O40" i="29"/>
  <c r="AA40" i="29" s="1"/>
  <c r="AI40" i="29" s="1"/>
  <c r="AG102" i="29"/>
  <c r="AG104" i="29" s="1"/>
  <c r="I179" i="3" s="1"/>
  <c r="M29" i="29"/>
  <c r="Y29" i="29" s="1"/>
  <c r="AG29" i="29" s="1"/>
  <c r="AG21" i="29" s="1"/>
  <c r="AG73" i="29" s="1"/>
  <c r="I116" i="1" s="1"/>
  <c r="AG86" i="29"/>
  <c r="AG88" i="29" s="1"/>
  <c r="I163" i="3" s="1"/>
  <c r="AE86" i="29"/>
  <c r="AE88" i="29" s="1"/>
  <c r="G163" i="3" s="1"/>
  <c r="AE102" i="29"/>
  <c r="AE104" i="29" s="1"/>
  <c r="G179" i="3" s="1"/>
  <c r="K29" i="29"/>
  <c r="W29" i="29" s="1"/>
  <c r="AE29" i="29" s="1"/>
  <c r="AK86" i="29"/>
  <c r="AK88" i="29" s="1"/>
  <c r="M163" i="3" s="1"/>
  <c r="AK102" i="29"/>
  <c r="AK104" i="29" s="1"/>
  <c r="M179" i="3" s="1"/>
  <c r="Q29" i="29"/>
  <c r="AC29" i="29" s="1"/>
  <c r="AK29" i="29" s="1"/>
  <c r="AK21" i="29" s="1"/>
  <c r="AK73" i="29" s="1"/>
  <c r="M116" i="1" s="1"/>
  <c r="AF86" i="29"/>
  <c r="AF88" i="29" s="1"/>
  <c r="H163" i="3" s="1"/>
  <c r="L29" i="29"/>
  <c r="X29" i="29" s="1"/>
  <c r="AF29" i="29" s="1"/>
  <c r="AF21" i="29" s="1"/>
  <c r="AF73" i="29" s="1"/>
  <c r="H116" i="1" s="1"/>
  <c r="AF102" i="29"/>
  <c r="AF104" i="29" s="1"/>
  <c r="H179" i="3" s="1"/>
  <c r="AI102" i="29"/>
  <c r="AI104" i="29" s="1"/>
  <c r="K179" i="3" s="1"/>
  <c r="O29" i="29"/>
  <c r="AA29" i="29" s="1"/>
  <c r="AI29" i="29" s="1"/>
  <c r="AI86" i="29"/>
  <c r="AI88" i="29" s="1"/>
  <c r="K163" i="3" s="1"/>
  <c r="AJ102" i="29"/>
  <c r="AJ104" i="29" s="1"/>
  <c r="L179" i="3" s="1"/>
  <c r="P29" i="29"/>
  <c r="AB29" i="29" s="1"/>
  <c r="AJ29" i="29" s="1"/>
  <c r="AJ21" i="29" s="1"/>
  <c r="AJ73" i="29" s="1"/>
  <c r="L116" i="1" s="1"/>
  <c r="AJ86" i="29"/>
  <c r="AJ88" i="29" s="1"/>
  <c r="L163" i="3" s="1"/>
  <c r="H9" i="29"/>
  <c r="B199" i="4"/>
  <c r="D200" i="4"/>
  <c r="F150" i="4"/>
  <c r="H89" i="3" l="1"/>
  <c r="J89" i="3"/>
  <c r="K89" i="3"/>
  <c r="I89" i="3"/>
  <c r="M89" i="3"/>
  <c r="L89" i="3"/>
  <c r="G89" i="3"/>
  <c r="H46" i="3"/>
  <c r="H149" i="3" s="1"/>
  <c r="B140" i="4"/>
  <c r="B2" i="9"/>
  <c r="B2" i="25"/>
  <c r="C71" i="30"/>
  <c r="C76" i="30" s="1"/>
  <c r="H195" i="3"/>
  <c r="H198" i="3" s="1"/>
  <c r="B2" i="4"/>
  <c r="B2" i="3"/>
  <c r="B2" i="24"/>
  <c r="K47" i="3"/>
  <c r="K195" i="3" s="1"/>
  <c r="K198" i="3" s="1"/>
  <c r="L47" i="3"/>
  <c r="L195" i="3" s="1"/>
  <c r="L198" i="3" s="1"/>
  <c r="M47" i="3"/>
  <c r="G47" i="3"/>
  <c r="G195" i="3" s="1"/>
  <c r="G198" i="3" s="1"/>
  <c r="J47" i="3"/>
  <c r="J150" i="3" s="1"/>
  <c r="J60" i="3" s="1"/>
  <c r="G67" i="28" s="1"/>
  <c r="I47" i="3"/>
  <c r="I195" i="3" s="1"/>
  <c r="I198" i="3" s="1"/>
  <c r="L46" i="3"/>
  <c r="L149" i="3" s="1"/>
  <c r="M46" i="3"/>
  <c r="M149" i="3" s="1"/>
  <c r="H17" i="28"/>
  <c r="J42" i="3"/>
  <c r="L42" i="3"/>
  <c r="D17" i="28"/>
  <c r="K42" i="3"/>
  <c r="D32" i="30"/>
  <c r="M42" i="3"/>
  <c r="I42" i="3"/>
  <c r="G42" i="3"/>
  <c r="F200" i="4"/>
  <c r="C202" i="4"/>
  <c r="E201" i="4"/>
  <c r="H54" i="3"/>
  <c r="H60" i="3"/>
  <c r="E67" i="28" s="1"/>
  <c r="H21" i="4"/>
  <c r="AE21" i="29"/>
  <c r="AE73" i="29" s="1"/>
  <c r="G116" i="1" s="1"/>
  <c r="G32" i="21" s="1"/>
  <c r="B26" i="27"/>
  <c r="A27" i="27"/>
  <c r="H6" i="24"/>
  <c r="H8" i="24" s="1"/>
  <c r="H7" i="24"/>
  <c r="AI21" i="29"/>
  <c r="AI73" i="29" s="1"/>
  <c r="K116" i="1" s="1"/>
  <c r="D201" i="4"/>
  <c r="I46" i="3" l="1"/>
  <c r="I149" i="3" s="1"/>
  <c r="K46" i="3"/>
  <c r="K149" i="3" s="1"/>
  <c r="J46" i="3"/>
  <c r="J149" i="3" s="1"/>
  <c r="B2" i="22"/>
  <c r="B2" i="2"/>
  <c r="L66" i="3"/>
  <c r="G66" i="3"/>
  <c r="K66" i="3"/>
  <c r="L150" i="3"/>
  <c r="L6" i="24" s="1"/>
  <c r="L8" i="24" s="1"/>
  <c r="I66" i="3"/>
  <c r="H66" i="3"/>
  <c r="J66" i="3"/>
  <c r="M66" i="3"/>
  <c r="K150" i="3"/>
  <c r="K21" i="4" s="1"/>
  <c r="J195" i="3"/>
  <c r="J198" i="3" s="1"/>
  <c r="I150" i="3"/>
  <c r="I60" i="3" s="1"/>
  <c r="F67" i="28" s="1"/>
  <c r="M150" i="3"/>
  <c r="M195" i="3"/>
  <c r="M198" i="3" s="1"/>
  <c r="J21" i="4"/>
  <c r="J7" i="24"/>
  <c r="J6" i="24"/>
  <c r="J8" i="24" s="1"/>
  <c r="J54" i="3"/>
  <c r="F201" i="4"/>
  <c r="C203" i="4"/>
  <c r="E202" i="4"/>
  <c r="B27" i="27"/>
  <c r="A28" i="27"/>
  <c r="D202" i="4"/>
  <c r="B201" i="4"/>
  <c r="B200" i="4"/>
  <c r="L7" i="24" l="1"/>
  <c r="L60" i="3"/>
  <c r="I67" i="28" s="1"/>
  <c r="L21" i="4"/>
  <c r="L54" i="3"/>
  <c r="K54" i="3"/>
  <c r="K60" i="3"/>
  <c r="H67" i="28" s="1"/>
  <c r="K7" i="24"/>
  <c r="K6" i="24"/>
  <c r="K8" i="24" s="1"/>
  <c r="I54" i="3"/>
  <c r="I7" i="24"/>
  <c r="I21" i="4"/>
  <c r="I6" i="24"/>
  <c r="I8" i="24" s="1"/>
  <c r="C147" i="28"/>
  <c r="A96" i="27" s="1"/>
  <c r="B96" i="27" s="1"/>
  <c r="M54" i="3"/>
  <c r="M6" i="24"/>
  <c r="M8" i="24" s="1"/>
  <c r="M60" i="3"/>
  <c r="J67" i="28" s="1"/>
  <c r="M7" i="24"/>
  <c r="M21" i="4"/>
  <c r="F202" i="4"/>
  <c r="C204" i="4"/>
  <c r="E203" i="4"/>
  <c r="B28" i="27"/>
  <c r="A29" i="27"/>
  <c r="D203" i="4"/>
  <c r="F203" i="4" l="1"/>
  <c r="C205" i="4"/>
  <c r="E204" i="4"/>
  <c r="B29" i="27"/>
  <c r="A30" i="27"/>
  <c r="D204" i="4"/>
  <c r="B202" i="4"/>
  <c r="B203" i="4"/>
  <c r="F204" i="4" l="1"/>
  <c r="C206" i="4"/>
  <c r="E205" i="4"/>
  <c r="A31" i="27"/>
  <c r="B30" i="27"/>
  <c r="M49" i="24"/>
  <c r="L49" i="24"/>
  <c r="K49" i="24"/>
  <c r="J49" i="24"/>
  <c r="I49" i="24"/>
  <c r="H49" i="24"/>
  <c r="G49" i="24"/>
  <c r="B204" i="4"/>
  <c r="D205" i="4"/>
  <c r="F205" i="4" l="1"/>
  <c r="C207" i="4"/>
  <c r="E206" i="4"/>
  <c r="B31" i="27"/>
  <c r="A32" i="27"/>
  <c r="M114" i="1"/>
  <c r="L114" i="1"/>
  <c r="K114" i="1"/>
  <c r="J114" i="1"/>
  <c r="I114" i="1"/>
  <c r="H114" i="1"/>
  <c r="G114" i="1"/>
  <c r="M112" i="1"/>
  <c r="L112" i="1"/>
  <c r="K112" i="1"/>
  <c r="J112" i="1"/>
  <c r="I112" i="1"/>
  <c r="H112" i="1"/>
  <c r="M115" i="1"/>
  <c r="L115" i="1"/>
  <c r="K115" i="1"/>
  <c r="J115" i="1"/>
  <c r="I115" i="1"/>
  <c r="H115" i="1"/>
  <c r="G115" i="1"/>
  <c r="G112" i="1"/>
  <c r="D206" i="4"/>
  <c r="E207" i="4" l="1"/>
  <c r="F206" i="4"/>
  <c r="C208" i="4"/>
  <c r="B32" i="27"/>
  <c r="A33" i="27"/>
  <c r="G58" i="3"/>
  <c r="F57" i="3"/>
  <c r="D207" i="4"/>
  <c r="B205" i="4"/>
  <c r="F207" i="4" l="1"/>
  <c r="C209" i="4"/>
  <c r="E208" i="4"/>
  <c r="B33" i="27"/>
  <c r="A34" i="27"/>
  <c r="M45" i="24"/>
  <c r="L45" i="24"/>
  <c r="K45" i="24"/>
  <c r="J45" i="24"/>
  <c r="I45" i="24"/>
  <c r="D208" i="4"/>
  <c r="B206" i="4"/>
  <c r="E209" i="4" l="1"/>
  <c r="F208" i="4"/>
  <c r="C210" i="4"/>
  <c r="B34" i="27"/>
  <c r="A35" i="27"/>
  <c r="G7" i="14"/>
  <c r="G14" i="14" s="1"/>
  <c r="B207" i="4"/>
  <c r="D209" i="4"/>
  <c r="F209" i="4" l="1"/>
  <c r="E210" i="4"/>
  <c r="C211" i="4"/>
  <c r="B35" i="27"/>
  <c r="A36" i="27"/>
  <c r="K15" i="22"/>
  <c r="J15" i="22"/>
  <c r="G15" i="22"/>
  <c r="F15" i="22"/>
  <c r="B208" i="4"/>
  <c r="B209" i="4"/>
  <c r="D210" i="4"/>
  <c r="C145" i="28" l="1"/>
  <c r="A94" i="27" s="1"/>
  <c r="B94" i="27" s="1"/>
  <c r="F210" i="4"/>
  <c r="C212" i="4"/>
  <c r="E211" i="4"/>
  <c r="B36" i="27"/>
  <c r="A37" i="27"/>
  <c r="H15" i="22"/>
  <c r="H45" i="24"/>
  <c r="D211" i="4"/>
  <c r="B210" i="4"/>
  <c r="C146" i="28" l="1"/>
  <c r="A95" i="27" s="1"/>
  <c r="C148" i="28"/>
  <c r="A97" i="27" s="1"/>
  <c r="B97" i="27" s="1"/>
  <c r="F211" i="4"/>
  <c r="C213" i="4"/>
  <c r="E212" i="4"/>
  <c r="B37" i="27"/>
  <c r="A38" i="27"/>
  <c r="L15" i="22"/>
  <c r="D212" i="4"/>
  <c r="B95" i="27" l="1"/>
  <c r="E213" i="4"/>
  <c r="F212" i="4"/>
  <c r="C214" i="4"/>
  <c r="A39" i="27"/>
  <c r="B38" i="27"/>
  <c r="I15" i="22"/>
  <c r="B211" i="4"/>
  <c r="D213" i="4"/>
  <c r="F213" i="4" l="1"/>
  <c r="E214" i="4"/>
  <c r="C215" i="4"/>
  <c r="A40" i="27"/>
  <c r="B39" i="27"/>
  <c r="E151" i="2"/>
  <c r="E150" i="2"/>
  <c r="E149" i="2"/>
  <c r="B212" i="4"/>
  <c r="D214" i="4"/>
  <c r="F214" i="4" l="1"/>
  <c r="E215" i="4"/>
  <c r="C216" i="4"/>
  <c r="B40" i="27"/>
  <c r="A41" i="27"/>
  <c r="G248" i="1"/>
  <c r="B213" i="4"/>
  <c r="D215" i="4"/>
  <c r="B214" i="4"/>
  <c r="F215" i="4" l="1"/>
  <c r="C217" i="4"/>
  <c r="E216" i="4"/>
  <c r="B41" i="27"/>
  <c r="A42" i="27"/>
  <c r="D216" i="4"/>
  <c r="E217" i="4" l="1"/>
  <c r="F216" i="4"/>
  <c r="C218" i="4"/>
  <c r="A43" i="27"/>
  <c r="B42" i="27"/>
  <c r="C9" i="29"/>
  <c r="F240" i="1"/>
  <c r="F239" i="1"/>
  <c r="F238" i="1"/>
  <c r="F235" i="1"/>
  <c r="F234" i="1"/>
  <c r="F233" i="1"/>
  <c r="F230" i="1"/>
  <c r="F229" i="1"/>
  <c r="F228" i="1"/>
  <c r="F227" i="1"/>
  <c r="F224" i="1"/>
  <c r="F223" i="1"/>
  <c r="F222" i="1"/>
  <c r="E240" i="1"/>
  <c r="E239" i="1"/>
  <c r="E238" i="1"/>
  <c r="E235" i="1"/>
  <c r="E234" i="1"/>
  <c r="E233" i="1"/>
  <c r="E230" i="1"/>
  <c r="E229" i="1"/>
  <c r="E228" i="1"/>
  <c r="E227" i="1"/>
  <c r="E224" i="1"/>
  <c r="E223" i="1"/>
  <c r="E222" i="1"/>
  <c r="D217" i="4"/>
  <c r="B215" i="4"/>
  <c r="F217" i="4" l="1"/>
  <c r="E218" i="4"/>
  <c r="C219" i="4"/>
  <c r="B43" i="27"/>
  <c r="A44" i="27"/>
  <c r="D9" i="29"/>
  <c r="B216" i="4"/>
  <c r="D218" i="4"/>
  <c r="F218" i="4" l="1"/>
  <c r="E219" i="4"/>
  <c r="C220" i="4"/>
  <c r="B44" i="27"/>
  <c r="A45" i="27"/>
  <c r="F9" i="29"/>
  <c r="E9" i="29"/>
  <c r="D219" i="4"/>
  <c r="B217" i="4"/>
  <c r="F219" i="4" l="1"/>
  <c r="E220" i="4"/>
  <c r="C221" i="4"/>
  <c r="B45" i="27"/>
  <c r="A46" i="27"/>
  <c r="B218" i="4"/>
  <c r="D220" i="4"/>
  <c r="B219" i="4"/>
  <c r="F220" i="4" l="1"/>
  <c r="E221" i="4"/>
  <c r="C222" i="4"/>
  <c r="A47" i="27"/>
  <c r="B46" i="27"/>
  <c r="K50" i="2"/>
  <c r="K49" i="2"/>
  <c r="D221" i="4"/>
  <c r="F221" i="4" l="1"/>
  <c r="E222" i="4"/>
  <c r="C223" i="4"/>
  <c r="B47" i="27"/>
  <c r="A48" i="27"/>
  <c r="G45" i="24"/>
  <c r="G132" i="3"/>
  <c r="G126" i="3"/>
  <c r="D222" i="4"/>
  <c r="B220" i="4"/>
  <c r="C149" i="28" l="1"/>
  <c r="F222" i="4"/>
  <c r="E223" i="4"/>
  <c r="C224" i="4"/>
  <c r="B48" i="27"/>
  <c r="A49" i="27"/>
  <c r="M177" i="14"/>
  <c r="B222" i="4"/>
  <c r="D223" i="4"/>
  <c r="B221" i="4"/>
  <c r="E76" i="28" l="1" a="1"/>
  <c r="E76" i="28" s="1"/>
  <c r="A98" i="27"/>
  <c r="F223" i="4"/>
  <c r="E224" i="4"/>
  <c r="C225" i="4"/>
  <c r="B49" i="27"/>
  <c r="A50" i="27"/>
  <c r="H6" i="4"/>
  <c r="H13" i="4" s="1"/>
  <c r="I6" i="4"/>
  <c r="I7" i="4" s="1"/>
  <c r="J6" i="4"/>
  <c r="J7" i="4" s="1"/>
  <c r="K6" i="4"/>
  <c r="K7" i="4" s="1"/>
  <c r="H14" i="4"/>
  <c r="I14" i="4"/>
  <c r="J14" i="4"/>
  <c r="K14" i="4"/>
  <c r="H55" i="4"/>
  <c r="I55" i="4"/>
  <c r="J55" i="4"/>
  <c r="K55" i="4"/>
  <c r="D224" i="4"/>
  <c r="B223" i="4"/>
  <c r="D77" i="27" l="1"/>
  <c r="H208" i="3"/>
  <c r="B98" i="27"/>
  <c r="A74" i="27"/>
  <c r="F224" i="4"/>
  <c r="E225" i="4"/>
  <c r="C226" i="4"/>
  <c r="E128" i="28"/>
  <c r="B50" i="27"/>
  <c r="A51" i="27"/>
  <c r="H7" i="4"/>
  <c r="H8" i="4"/>
  <c r="D225" i="4"/>
  <c r="D98" i="27" l="1"/>
  <c r="H98" i="27"/>
  <c r="I98" i="27"/>
  <c r="E98" i="27"/>
  <c r="C98" i="27"/>
  <c r="G98" i="27"/>
  <c r="F98" i="27"/>
  <c r="F225" i="4"/>
  <c r="E226" i="4"/>
  <c r="C227" i="4"/>
  <c r="B51" i="27"/>
  <c r="A52" i="27"/>
  <c r="I8" i="4"/>
  <c r="I13" i="4"/>
  <c r="B224" i="4"/>
  <c r="D226" i="4"/>
  <c r="B225" i="4"/>
  <c r="E77" i="27" l="1"/>
  <c r="I208" i="3"/>
  <c r="F226" i="4"/>
  <c r="E227" i="4"/>
  <c r="C228" i="4"/>
  <c r="F128" i="28"/>
  <c r="B52" i="27"/>
  <c r="A53" i="27"/>
  <c r="J13" i="4"/>
  <c r="J208" i="3" s="1"/>
  <c r="G9" i="29"/>
  <c r="J8" i="4"/>
  <c r="G137" i="28" s="1"/>
  <c r="D227" i="4"/>
  <c r="F77" i="27" l="1"/>
  <c r="G128" i="28"/>
  <c r="F227" i="4"/>
  <c r="C229" i="4"/>
  <c r="E228" i="4"/>
  <c r="A54" i="27"/>
  <c r="B53" i="27"/>
  <c r="M74" i="14"/>
  <c r="K8" i="4"/>
  <c r="K13" i="4"/>
  <c r="B226" i="4"/>
  <c r="D228" i="4"/>
  <c r="B227" i="4"/>
  <c r="G77" i="27" l="1"/>
  <c r="K208" i="3"/>
  <c r="F228" i="4"/>
  <c r="C230" i="4"/>
  <c r="E229" i="4"/>
  <c r="H128" i="28"/>
  <c r="A55" i="27"/>
  <c r="B54" i="27"/>
  <c r="B228" i="4"/>
  <c r="D229" i="4"/>
  <c r="E230" i="4" l="1"/>
  <c r="F229" i="4"/>
  <c r="C231" i="4"/>
  <c r="B55" i="27"/>
  <c r="A56" i="27"/>
  <c r="M15" i="25"/>
  <c r="L15" i="25"/>
  <c r="B229" i="4"/>
  <c r="D230" i="4"/>
  <c r="F230" i="4" l="1"/>
  <c r="C232" i="4"/>
  <c r="E231" i="4"/>
  <c r="B56" i="27"/>
  <c r="A57" i="27"/>
  <c r="K15" i="25"/>
  <c r="J15" i="25"/>
  <c r="I15" i="25"/>
  <c r="H15" i="25"/>
  <c r="D231" i="4"/>
  <c r="B230" i="4"/>
  <c r="F231" i="4" l="1"/>
  <c r="C233" i="4"/>
  <c r="E232" i="4"/>
  <c r="B57" i="27"/>
  <c r="A58" i="27"/>
  <c r="B58" i="27" s="1"/>
  <c r="K14" i="25"/>
  <c r="D232" i="4"/>
  <c r="E233" i="4" l="1"/>
  <c r="F232" i="4"/>
  <c r="C234" i="4"/>
  <c r="I14" i="25"/>
  <c r="J14" i="25"/>
  <c r="H14" i="25"/>
  <c r="D233" i="4"/>
  <c r="B231" i="4"/>
  <c r="F233" i="4" l="1"/>
  <c r="E234" i="4"/>
  <c r="C235" i="4"/>
  <c r="G15" i="25"/>
  <c r="B232" i="4"/>
  <c r="B233" i="4"/>
  <c r="D234" i="4"/>
  <c r="F234" i="4" l="1"/>
  <c r="E235" i="4"/>
  <c r="C236" i="4"/>
  <c r="E215" i="1"/>
  <c r="B234" i="4"/>
  <c r="D235" i="4"/>
  <c r="F235" i="4" l="1"/>
  <c r="E236" i="4"/>
  <c r="C237" i="4"/>
  <c r="I11" i="4"/>
  <c r="D236" i="4"/>
  <c r="E86" i="27" l="1"/>
  <c r="F236" i="4"/>
  <c r="E237" i="4"/>
  <c r="C238" i="4"/>
  <c r="M95" i="1"/>
  <c r="L95" i="1"/>
  <c r="K95" i="1"/>
  <c r="J95" i="1"/>
  <c r="I95" i="1"/>
  <c r="H95" i="1"/>
  <c r="G95" i="1"/>
  <c r="L6" i="22"/>
  <c r="K6" i="22"/>
  <c r="J6" i="22"/>
  <c r="I6" i="22"/>
  <c r="H6" i="22"/>
  <c r="G6" i="22"/>
  <c r="B236" i="4"/>
  <c r="B235" i="4"/>
  <c r="D237" i="4"/>
  <c r="F237" i="4" l="1"/>
  <c r="E238" i="4"/>
  <c r="C239" i="4"/>
  <c r="F6" i="22"/>
  <c r="M77" i="9"/>
  <c r="L77" i="9"/>
  <c r="K77" i="9"/>
  <c r="J77" i="9"/>
  <c r="I77" i="9"/>
  <c r="H77" i="9"/>
  <c r="G77" i="9"/>
  <c r="D238" i="4"/>
  <c r="F238" i="4" l="1"/>
  <c r="C240" i="4"/>
  <c r="E239" i="4"/>
  <c r="D239" i="4"/>
  <c r="B237" i="4"/>
  <c r="F239" i="4" l="1"/>
  <c r="C241" i="4"/>
  <c r="E240" i="4"/>
  <c r="J11" i="4"/>
  <c r="G138" i="28" s="1"/>
  <c r="K11" i="4"/>
  <c r="H11" i="4"/>
  <c r="D240" i="4"/>
  <c r="B238" i="4"/>
  <c r="D86" i="27" l="1"/>
  <c r="G86" i="27"/>
  <c r="F86" i="27"/>
  <c r="C242" i="4"/>
  <c r="E241" i="4"/>
  <c r="F240" i="4"/>
  <c r="G12" i="14"/>
  <c r="D241" i="4"/>
  <c r="B239" i="4"/>
  <c r="J241" i="4" l="1"/>
  <c r="K241" i="4"/>
  <c r="L241" i="4"/>
  <c r="H241" i="4"/>
  <c r="G241" i="4"/>
  <c r="I241" i="4"/>
  <c r="M241" i="4"/>
  <c r="F241" i="4"/>
  <c r="C243" i="4"/>
  <c r="E242" i="4"/>
  <c r="G13" i="14"/>
  <c r="D242" i="4"/>
  <c r="B240" i="4"/>
  <c r="K242" i="4" l="1"/>
  <c r="L242" i="4"/>
  <c r="M242" i="4"/>
  <c r="I242" i="4"/>
  <c r="J242" i="4"/>
  <c r="G242" i="4"/>
  <c r="H242" i="4"/>
  <c r="E243" i="4"/>
  <c r="F242" i="4"/>
  <c r="C244" i="4"/>
  <c r="B2" i="21"/>
  <c r="B241" i="4"/>
  <c r="D243" i="4"/>
  <c r="L243" i="4" l="1"/>
  <c r="M243" i="4"/>
  <c r="J243" i="4"/>
  <c r="G243" i="4"/>
  <c r="H243" i="4"/>
  <c r="I243" i="4"/>
  <c r="K243" i="4"/>
  <c r="F243" i="4"/>
  <c r="E244" i="4"/>
  <c r="C245" i="4"/>
  <c r="F12" i="2"/>
  <c r="F11" i="2"/>
  <c r="F10" i="2"/>
  <c r="F9" i="2"/>
  <c r="F8" i="2"/>
  <c r="D244" i="4"/>
  <c r="B242" i="4"/>
  <c r="B243" i="4"/>
  <c r="M244" i="4" l="1"/>
  <c r="G244" i="4"/>
  <c r="K244" i="4"/>
  <c r="L244" i="4"/>
  <c r="I244" i="4"/>
  <c r="H244" i="4"/>
  <c r="J244" i="4"/>
  <c r="F244" i="4"/>
  <c r="E245" i="4"/>
  <c r="C246" i="4"/>
  <c r="F7" i="2"/>
  <c r="B2" i="1"/>
  <c r="D245" i="4"/>
  <c r="B244" i="4"/>
  <c r="G245" i="4" l="1"/>
  <c r="H245" i="4"/>
  <c r="L245" i="4"/>
  <c r="I245" i="4"/>
  <c r="J245" i="4"/>
  <c r="K245" i="4"/>
  <c r="M245" i="4"/>
  <c r="F245" i="4"/>
  <c r="E246" i="4"/>
  <c r="C247" i="4"/>
  <c r="M19" i="9"/>
  <c r="M13" i="9"/>
  <c r="M71" i="9" s="1"/>
  <c r="M11" i="9"/>
  <c r="M69" i="9" s="1"/>
  <c r="M10" i="9"/>
  <c r="M68" i="9" s="1"/>
  <c r="M119" i="1"/>
  <c r="M104" i="1"/>
  <c r="M103" i="1"/>
  <c r="M102" i="1"/>
  <c r="M5" i="1"/>
  <c r="M55" i="4"/>
  <c r="M14" i="4"/>
  <c r="M6" i="4"/>
  <c r="L5" i="22"/>
  <c r="D246" i="4"/>
  <c r="G246" i="4" l="1"/>
  <c r="H246" i="4"/>
  <c r="M246" i="4"/>
  <c r="L246" i="4"/>
  <c r="I246" i="4"/>
  <c r="J246" i="4"/>
  <c r="K246" i="4"/>
  <c r="F246" i="4"/>
  <c r="E247" i="4"/>
  <c r="C248" i="4"/>
  <c r="M15" i="21"/>
  <c r="M13" i="4"/>
  <c r="M6" i="21"/>
  <c r="M12" i="9"/>
  <c r="M70" i="9" s="1"/>
  <c r="M248" i="1"/>
  <c r="M9" i="21"/>
  <c r="M7" i="4"/>
  <c r="M7" i="21" s="1"/>
  <c r="B245" i="4"/>
  <c r="D247" i="4"/>
  <c r="I77" i="27" l="1"/>
  <c r="M208" i="3"/>
  <c r="H247" i="4"/>
  <c r="I247" i="4"/>
  <c r="G247" i="4"/>
  <c r="J247" i="4"/>
  <c r="K247" i="4"/>
  <c r="L247" i="4"/>
  <c r="M247" i="4"/>
  <c r="F247" i="4"/>
  <c r="E248" i="4"/>
  <c r="C249" i="4"/>
  <c r="J128" i="28"/>
  <c r="I9" i="29"/>
  <c r="M14" i="25"/>
  <c r="M7" i="1"/>
  <c r="M49" i="1" s="1"/>
  <c r="M14" i="21"/>
  <c r="L8" i="22"/>
  <c r="M9" i="9"/>
  <c r="M67" i="9" s="1"/>
  <c r="M8" i="4"/>
  <c r="B246" i="4"/>
  <c r="D248" i="4"/>
  <c r="G248" i="4" l="1"/>
  <c r="J248" i="4"/>
  <c r="K248" i="4"/>
  <c r="L248" i="4"/>
  <c r="M248" i="4"/>
  <c r="H248" i="4"/>
  <c r="I248" i="4"/>
  <c r="F248" i="4"/>
  <c r="E249" i="4"/>
  <c r="C250" i="4"/>
  <c r="M8" i="21"/>
  <c r="M22" i="4"/>
  <c r="L4" i="22"/>
  <c r="M8" i="1"/>
  <c r="M46" i="1"/>
  <c r="M47" i="1" s="1"/>
  <c r="M48" i="1" s="1"/>
  <c r="D249" i="4"/>
  <c r="B247" i="4"/>
  <c r="K249" i="4" l="1"/>
  <c r="L249" i="4"/>
  <c r="M249" i="4"/>
  <c r="G249" i="4"/>
  <c r="H249" i="4"/>
  <c r="I249" i="4"/>
  <c r="J249" i="4"/>
  <c r="F249" i="4"/>
  <c r="E250" i="4"/>
  <c r="C251" i="4"/>
  <c r="M253" i="1"/>
  <c r="M193" i="1"/>
  <c r="M199" i="1" s="1"/>
  <c r="B249" i="4"/>
  <c r="B248" i="4"/>
  <c r="D250" i="4"/>
  <c r="L250" i="4" l="1"/>
  <c r="M250" i="4"/>
  <c r="G250" i="4"/>
  <c r="H250" i="4"/>
  <c r="J250" i="4"/>
  <c r="I250" i="4"/>
  <c r="K250" i="4"/>
  <c r="F250" i="4"/>
  <c r="E251" i="4"/>
  <c r="C252" i="4"/>
  <c r="M204" i="1"/>
  <c r="D251" i="4"/>
  <c r="M251" i="4" l="1"/>
  <c r="G251" i="4"/>
  <c r="H251" i="4"/>
  <c r="K251" i="4"/>
  <c r="I251" i="4"/>
  <c r="J251" i="4"/>
  <c r="L251" i="4"/>
  <c r="F251" i="4"/>
  <c r="E252" i="4"/>
  <c r="C253" i="4"/>
  <c r="M209" i="1"/>
  <c r="B250" i="4"/>
  <c r="D252" i="4"/>
  <c r="G252" i="4" l="1"/>
  <c r="H252" i="4"/>
  <c r="I252" i="4"/>
  <c r="J252" i="4"/>
  <c r="K252" i="4"/>
  <c r="L252" i="4"/>
  <c r="M252" i="4"/>
  <c r="F252" i="4"/>
  <c r="E253" i="4"/>
  <c r="C254" i="4"/>
  <c r="M220" i="1"/>
  <c r="M230" i="1" s="1"/>
  <c r="B252" i="4"/>
  <c r="D253" i="4"/>
  <c r="B251" i="4"/>
  <c r="G253" i="4" l="1"/>
  <c r="H253" i="4"/>
  <c r="I253" i="4"/>
  <c r="J253" i="4"/>
  <c r="K253" i="4"/>
  <c r="M253" i="4"/>
  <c r="L253" i="4"/>
  <c r="F253" i="4"/>
  <c r="E254" i="4"/>
  <c r="C255" i="4"/>
  <c r="M238" i="1"/>
  <c r="M235" i="1"/>
  <c r="M233" i="1"/>
  <c r="M234" i="1"/>
  <c r="M224" i="1"/>
  <c r="M240" i="1"/>
  <c r="M239" i="1"/>
  <c r="M242" i="1"/>
  <c r="M226" i="1"/>
  <c r="D254" i="4"/>
  <c r="H254" i="4" l="1"/>
  <c r="I254" i="4"/>
  <c r="J254" i="4"/>
  <c r="K254" i="4"/>
  <c r="L254" i="4"/>
  <c r="M254" i="4"/>
  <c r="G254" i="4"/>
  <c r="F254" i="4"/>
  <c r="E255" i="4"/>
  <c r="C256" i="4"/>
  <c r="M55" i="21"/>
  <c r="M232" i="1"/>
  <c r="M237" i="1" s="1"/>
  <c r="M228" i="1"/>
  <c r="M247" i="1"/>
  <c r="B253" i="4"/>
  <c r="D255" i="4"/>
  <c r="I255" i="4" l="1"/>
  <c r="J255" i="4"/>
  <c r="K255" i="4"/>
  <c r="L255" i="4"/>
  <c r="M255" i="4"/>
  <c r="G255" i="4"/>
  <c r="H255" i="4"/>
  <c r="F255" i="4"/>
  <c r="E256" i="4"/>
  <c r="C257" i="4"/>
  <c r="L14" i="4"/>
  <c r="K15" i="21"/>
  <c r="J15" i="21"/>
  <c r="I15" i="21"/>
  <c r="H15" i="21"/>
  <c r="G14" i="4"/>
  <c r="L177" i="14"/>
  <c r="L19" i="9"/>
  <c r="L13" i="9"/>
  <c r="L71" i="9" s="1"/>
  <c r="L11" i="9"/>
  <c r="L69" i="9" s="1"/>
  <c r="L10" i="9"/>
  <c r="L68" i="9" s="1"/>
  <c r="L119" i="1"/>
  <c r="L104" i="1"/>
  <c r="L103" i="1"/>
  <c r="L102" i="1"/>
  <c r="L5" i="1"/>
  <c r="K5" i="1"/>
  <c r="K102" i="1"/>
  <c r="K103" i="1"/>
  <c r="K104" i="1"/>
  <c r="K119" i="1"/>
  <c r="L55" i="4"/>
  <c r="L6" i="4"/>
  <c r="K5" i="22"/>
  <c r="B254" i="4"/>
  <c r="D256" i="4"/>
  <c r="J256" i="4" l="1"/>
  <c r="K256" i="4"/>
  <c r="L256" i="4"/>
  <c r="M256" i="4"/>
  <c r="H256" i="4"/>
  <c r="G256" i="4"/>
  <c r="I256" i="4"/>
  <c r="F256" i="4"/>
  <c r="E257" i="4"/>
  <c r="C258" i="4"/>
  <c r="G15" i="21"/>
  <c r="L15" i="21"/>
  <c r="L13" i="4"/>
  <c r="L6" i="21"/>
  <c r="L12" i="9"/>
  <c r="L70" i="9" s="1"/>
  <c r="L248" i="1"/>
  <c r="L9" i="21"/>
  <c r="L7" i="4"/>
  <c r="L7" i="21" s="1"/>
  <c r="B255" i="4"/>
  <c r="D257" i="4"/>
  <c r="H77" i="27" l="1"/>
  <c r="L208" i="3"/>
  <c r="K257" i="4"/>
  <c r="L257" i="4"/>
  <c r="M257" i="4"/>
  <c r="G257" i="4"/>
  <c r="I257" i="4"/>
  <c r="H257" i="4"/>
  <c r="J257" i="4"/>
  <c r="F257" i="4"/>
  <c r="E258" i="4"/>
  <c r="C259" i="4"/>
  <c r="I128" i="28"/>
  <c r="L14" i="25"/>
  <c r="L14" i="21"/>
  <c r="K8" i="22"/>
  <c r="L9" i="9"/>
  <c r="L67" i="9" s="1"/>
  <c r="L8" i="4"/>
  <c r="L7" i="1"/>
  <c r="D258" i="4"/>
  <c r="B256" i="4"/>
  <c r="L258" i="4" l="1"/>
  <c r="M258" i="4"/>
  <c r="G258" i="4"/>
  <c r="H258" i="4"/>
  <c r="I258" i="4"/>
  <c r="J258" i="4"/>
  <c r="K258" i="4"/>
  <c r="F258" i="4"/>
  <c r="E259" i="4"/>
  <c r="C260" i="4"/>
  <c r="L8" i="21"/>
  <c r="L22" i="4"/>
  <c r="K4" i="22"/>
  <c r="L49" i="1"/>
  <c r="L8" i="1"/>
  <c r="L193" i="1" s="1"/>
  <c r="L46" i="1"/>
  <c r="L47" i="1" s="1"/>
  <c r="L48" i="1" s="1"/>
  <c r="B258" i="4"/>
  <c r="D259" i="4"/>
  <c r="B257" i="4"/>
  <c r="M259" i="4" l="1"/>
  <c r="G259" i="4"/>
  <c r="H259" i="4"/>
  <c r="I259" i="4"/>
  <c r="K259" i="4"/>
  <c r="J259" i="4"/>
  <c r="L259" i="4"/>
  <c r="F259" i="4"/>
  <c r="E260" i="4"/>
  <c r="C261" i="4"/>
  <c r="L199" i="1"/>
  <c r="L253" i="1"/>
  <c r="D260" i="4"/>
  <c r="G260" i="4" l="1"/>
  <c r="H260" i="4"/>
  <c r="I260" i="4"/>
  <c r="J260" i="4"/>
  <c r="K260" i="4"/>
  <c r="L260" i="4"/>
  <c r="M260" i="4"/>
  <c r="F260" i="4"/>
  <c r="E261" i="4"/>
  <c r="C262" i="4"/>
  <c r="L204" i="1"/>
  <c r="B260" i="4"/>
  <c r="D261" i="4"/>
  <c r="B259" i="4"/>
  <c r="G261" i="4" l="1"/>
  <c r="H261" i="4"/>
  <c r="I261" i="4"/>
  <c r="J261" i="4"/>
  <c r="M261" i="4"/>
  <c r="K261" i="4"/>
  <c r="L261" i="4"/>
  <c r="F261" i="4"/>
  <c r="E262" i="4"/>
  <c r="C263" i="4"/>
  <c r="L209" i="1"/>
  <c r="G55" i="4"/>
  <c r="B261" i="4"/>
  <c r="D262" i="4"/>
  <c r="H262" i="4" l="1"/>
  <c r="I262" i="4"/>
  <c r="J262" i="4"/>
  <c r="K262" i="4"/>
  <c r="L262" i="4"/>
  <c r="M262" i="4"/>
  <c r="G262" i="4"/>
  <c r="F262" i="4"/>
  <c r="E263" i="4"/>
  <c r="C264" i="4"/>
  <c r="L220" i="1"/>
  <c r="L230" i="1" s="1"/>
  <c r="H198" i="14"/>
  <c r="H197" i="14"/>
  <c r="H196" i="14"/>
  <c r="H195" i="14"/>
  <c r="K177" i="14"/>
  <c r="J177" i="14"/>
  <c r="I177" i="14"/>
  <c r="H177" i="14"/>
  <c r="G177" i="14"/>
  <c r="G145" i="14"/>
  <c r="G154" i="14" s="1"/>
  <c r="G123" i="14"/>
  <c r="G121" i="14"/>
  <c r="G86" i="14"/>
  <c r="G77" i="14"/>
  <c r="G73" i="14"/>
  <c r="G135" i="3" s="1"/>
  <c r="G67" i="14"/>
  <c r="G55" i="14"/>
  <c r="G17" i="14"/>
  <c r="G15" i="14"/>
  <c r="K19" i="9"/>
  <c r="J19" i="9"/>
  <c r="I19" i="9"/>
  <c r="H19" i="9"/>
  <c r="G19" i="9"/>
  <c r="K13" i="9"/>
  <c r="K71" i="9" s="1"/>
  <c r="J13" i="9"/>
  <c r="J71" i="9" s="1"/>
  <c r="I13" i="9"/>
  <c r="I71" i="9" s="1"/>
  <c r="H13" i="9"/>
  <c r="H71" i="9" s="1"/>
  <c r="G13" i="9"/>
  <c r="G71" i="9" s="1"/>
  <c r="K11" i="9"/>
  <c r="K69" i="9" s="1"/>
  <c r="J11" i="9"/>
  <c r="J69" i="9" s="1"/>
  <c r="I11" i="9"/>
  <c r="I69" i="9" s="1"/>
  <c r="H11" i="9"/>
  <c r="H69" i="9" s="1"/>
  <c r="G11" i="9"/>
  <c r="G69" i="9" s="1"/>
  <c r="K10" i="9"/>
  <c r="K68" i="9" s="1"/>
  <c r="J10" i="9"/>
  <c r="J68" i="9" s="1"/>
  <c r="I10" i="9"/>
  <c r="I68" i="9" s="1"/>
  <c r="H10" i="9"/>
  <c r="H68" i="9" s="1"/>
  <c r="G10" i="9"/>
  <c r="G68" i="9" s="1"/>
  <c r="E99" i="2"/>
  <c r="E151" i="1" s="1"/>
  <c r="E93" i="2"/>
  <c r="E145" i="1" s="1"/>
  <c r="F261" i="1"/>
  <c r="E261" i="1"/>
  <c r="F260" i="1"/>
  <c r="E260" i="1"/>
  <c r="F259" i="1"/>
  <c r="E259" i="1"/>
  <c r="F256" i="1"/>
  <c r="E256" i="1"/>
  <c r="F255" i="1"/>
  <c r="E255" i="1"/>
  <c r="F254" i="1"/>
  <c r="E254" i="1"/>
  <c r="F251" i="1"/>
  <c r="E251" i="1"/>
  <c r="F250" i="1"/>
  <c r="E250" i="1"/>
  <c r="F249" i="1"/>
  <c r="E249" i="1"/>
  <c r="F248" i="1"/>
  <c r="E248" i="1"/>
  <c r="F245" i="1"/>
  <c r="E245" i="1"/>
  <c r="F244" i="1"/>
  <c r="E244" i="1"/>
  <c r="F243" i="1"/>
  <c r="E243" i="1"/>
  <c r="E221" i="1"/>
  <c r="F217" i="1"/>
  <c r="E217" i="1"/>
  <c r="F216" i="1"/>
  <c r="E216" i="1"/>
  <c r="F215" i="1"/>
  <c r="F212" i="1"/>
  <c r="E212" i="1"/>
  <c r="F211" i="1"/>
  <c r="E211" i="1"/>
  <c r="F210" i="1"/>
  <c r="E210" i="1"/>
  <c r="F207" i="1"/>
  <c r="E207" i="1"/>
  <c r="F206" i="1"/>
  <c r="E206" i="1"/>
  <c r="F205" i="1"/>
  <c r="E205" i="1"/>
  <c r="F202" i="1"/>
  <c r="E202" i="1"/>
  <c r="F201" i="1"/>
  <c r="E201" i="1"/>
  <c r="F200" i="1"/>
  <c r="E200" i="1"/>
  <c r="F197" i="1"/>
  <c r="E197" i="1"/>
  <c r="F196" i="1"/>
  <c r="E196" i="1"/>
  <c r="F195" i="1"/>
  <c r="E195" i="1"/>
  <c r="E194" i="1"/>
  <c r="F190" i="1"/>
  <c r="E190" i="1"/>
  <c r="F189" i="1"/>
  <c r="E189" i="1"/>
  <c r="F188" i="1"/>
  <c r="E188" i="1"/>
  <c r="F185" i="1"/>
  <c r="E185" i="1"/>
  <c r="F184" i="1"/>
  <c r="E184" i="1"/>
  <c r="F183" i="1"/>
  <c r="E183" i="1"/>
  <c r="F180" i="1"/>
  <c r="E180" i="1"/>
  <c r="F179" i="1"/>
  <c r="E179" i="1"/>
  <c r="F178" i="1"/>
  <c r="E178" i="1"/>
  <c r="F175" i="1"/>
  <c r="E175" i="1"/>
  <c r="F174" i="1"/>
  <c r="E174" i="1"/>
  <c r="F173" i="1"/>
  <c r="E173" i="1"/>
  <c r="F170" i="1"/>
  <c r="E170" i="1"/>
  <c r="F169" i="1"/>
  <c r="E169" i="1"/>
  <c r="F168" i="1"/>
  <c r="E168" i="1"/>
  <c r="F165" i="1"/>
  <c r="E165" i="1"/>
  <c r="F164" i="1"/>
  <c r="E164" i="1"/>
  <c r="F163" i="1"/>
  <c r="E163" i="1"/>
  <c r="F159" i="1"/>
  <c r="E159" i="1"/>
  <c r="F158" i="1"/>
  <c r="E158" i="1"/>
  <c r="F157" i="1"/>
  <c r="E157" i="1"/>
  <c r="F154" i="1"/>
  <c r="E154" i="1"/>
  <c r="F153" i="1"/>
  <c r="E153" i="1"/>
  <c r="F152" i="1"/>
  <c r="E152" i="1"/>
  <c r="F148" i="1"/>
  <c r="E148" i="1"/>
  <c r="F147" i="1"/>
  <c r="E147" i="1"/>
  <c r="F146" i="1"/>
  <c r="E146" i="1"/>
  <c r="F141" i="1"/>
  <c r="E141" i="1"/>
  <c r="F140" i="1"/>
  <c r="E140" i="1"/>
  <c r="F139" i="1"/>
  <c r="E139" i="1"/>
  <c r="F136" i="1"/>
  <c r="E136" i="1"/>
  <c r="F135" i="1"/>
  <c r="E135" i="1"/>
  <c r="F134" i="1"/>
  <c r="E134" i="1"/>
  <c r="F129" i="1"/>
  <c r="E129" i="1"/>
  <c r="F128" i="1"/>
  <c r="E128" i="1"/>
  <c r="F127" i="1"/>
  <c r="E127" i="1"/>
  <c r="J119" i="1"/>
  <c r="I119" i="1"/>
  <c r="H119" i="1"/>
  <c r="G119" i="1"/>
  <c r="G105" i="1"/>
  <c r="G113" i="1"/>
  <c r="G111" i="1"/>
  <c r="J104" i="1"/>
  <c r="I104" i="1"/>
  <c r="H104" i="1"/>
  <c r="G104" i="1"/>
  <c r="J103" i="1"/>
  <c r="I103" i="1"/>
  <c r="H103" i="1"/>
  <c r="G103" i="1"/>
  <c r="J102" i="1"/>
  <c r="I102" i="1"/>
  <c r="H102" i="1"/>
  <c r="F90" i="1"/>
  <c r="F86" i="1"/>
  <c r="F85" i="1"/>
  <c r="F84" i="1"/>
  <c r="F30" i="1"/>
  <c r="J5" i="1"/>
  <c r="I5" i="1"/>
  <c r="H5" i="1"/>
  <c r="G5" i="1"/>
  <c r="G6" i="4"/>
  <c r="F26" i="22"/>
  <c r="J5" i="22"/>
  <c r="I5" i="22"/>
  <c r="H5" i="22"/>
  <c r="G5" i="22"/>
  <c r="G28" i="3"/>
  <c r="G29" i="3" s="1"/>
  <c r="F65" i="1"/>
  <c r="E65" i="1"/>
  <c r="F64" i="1"/>
  <c r="E64" i="1"/>
  <c r="F63" i="1"/>
  <c r="F62" i="1"/>
  <c r="E62" i="1"/>
  <c r="F61" i="1"/>
  <c r="E61" i="1"/>
  <c r="F60" i="1"/>
  <c r="E60" i="1"/>
  <c r="F59" i="1"/>
  <c r="E59" i="1"/>
  <c r="F57" i="1"/>
  <c r="E57" i="1"/>
  <c r="F56" i="1"/>
  <c r="E56" i="1"/>
  <c r="F55" i="1"/>
  <c r="E55" i="1"/>
  <c r="F54" i="1"/>
  <c r="D263" i="4"/>
  <c r="L195" i="1" l="1"/>
  <c r="L201" i="1"/>
  <c r="I263" i="4"/>
  <c r="J263" i="4"/>
  <c r="K263" i="4"/>
  <c r="L263" i="4"/>
  <c r="M263" i="4"/>
  <c r="G263" i="4"/>
  <c r="H263" i="4"/>
  <c r="F263" i="4"/>
  <c r="E264" i="4"/>
  <c r="C265" i="4"/>
  <c r="L197" i="1"/>
  <c r="L205" i="1"/>
  <c r="L211" i="1"/>
  <c r="L200" i="1"/>
  <c r="L206" i="1"/>
  <c r="L212" i="1"/>
  <c r="L202" i="1"/>
  <c r="L210" i="1"/>
  <c r="M43" i="14"/>
  <c r="I43" i="14"/>
  <c r="K43" i="14"/>
  <c r="L43" i="14"/>
  <c r="H43" i="14"/>
  <c r="J43" i="14"/>
  <c r="K44" i="14"/>
  <c r="M44" i="14"/>
  <c r="I44" i="14"/>
  <c r="J44" i="14"/>
  <c r="L44" i="14"/>
  <c r="H44" i="14"/>
  <c r="M47" i="14"/>
  <c r="I47" i="14"/>
  <c r="K47" i="14"/>
  <c r="L47" i="14"/>
  <c r="H47" i="14"/>
  <c r="J47" i="14"/>
  <c r="O196" i="1"/>
  <c r="L207" i="1"/>
  <c r="L234" i="1"/>
  <c r="L235" i="1"/>
  <c r="L240" i="1"/>
  <c r="L239" i="1"/>
  <c r="L222" i="1"/>
  <c r="L233" i="1"/>
  <c r="L224" i="1"/>
  <c r="L238" i="1"/>
  <c r="L226" i="1"/>
  <c r="L242" i="1"/>
  <c r="L247" i="1" s="1"/>
  <c r="L250" i="1" s="1"/>
  <c r="F5" i="22"/>
  <c r="G74" i="14"/>
  <c r="H9" i="9"/>
  <c r="H67" i="9" s="1"/>
  <c r="H6" i="21"/>
  <c r="J9" i="9"/>
  <c r="J67" i="9" s="1"/>
  <c r="J6" i="21"/>
  <c r="G13" i="4"/>
  <c r="C77" i="27" s="1"/>
  <c r="G6" i="21"/>
  <c r="I9" i="9"/>
  <c r="I67" i="9" s="1"/>
  <c r="I6" i="21"/>
  <c r="K9" i="9"/>
  <c r="K67" i="9" s="1"/>
  <c r="K6" i="21"/>
  <c r="G26" i="22"/>
  <c r="F16" i="1"/>
  <c r="F22" i="1"/>
  <c r="F29" i="1"/>
  <c r="F31" i="1"/>
  <c r="F28" i="1"/>
  <c r="M65" i="1"/>
  <c r="M195" i="1"/>
  <c r="M197" i="1"/>
  <c r="M200" i="1"/>
  <c r="M201" i="1"/>
  <c r="M202" i="1"/>
  <c r="M205" i="1"/>
  <c r="M206" i="1"/>
  <c r="M207" i="1"/>
  <c r="M210" i="1"/>
  <c r="M211" i="1"/>
  <c r="M212" i="1"/>
  <c r="M222" i="1"/>
  <c r="M243" i="1"/>
  <c r="M244" i="1"/>
  <c r="M245" i="1"/>
  <c r="M249" i="1"/>
  <c r="M250" i="1"/>
  <c r="M251" i="1"/>
  <c r="M254" i="1"/>
  <c r="L254" i="1"/>
  <c r="M255" i="1"/>
  <c r="M48" i="21" s="1"/>
  <c r="M78" i="21" s="1"/>
  <c r="L255" i="1"/>
  <c r="L48" i="21" s="1"/>
  <c r="L78" i="21" s="1"/>
  <c r="M256" i="1"/>
  <c r="M57" i="21" s="1"/>
  <c r="M87" i="21" s="1"/>
  <c r="L256" i="1"/>
  <c r="L57" i="21" s="1"/>
  <c r="L87" i="21" s="1"/>
  <c r="I9" i="21"/>
  <c r="G9" i="21"/>
  <c r="K9" i="21"/>
  <c r="K248" i="1"/>
  <c r="G103" i="14"/>
  <c r="H9" i="21"/>
  <c r="J9" i="21"/>
  <c r="L65" i="1"/>
  <c r="K65" i="1"/>
  <c r="J7" i="21"/>
  <c r="H7" i="21"/>
  <c r="G69" i="14"/>
  <c r="G111" i="14"/>
  <c r="G118" i="14" s="1"/>
  <c r="G138" i="14"/>
  <c r="G140" i="14" s="1"/>
  <c r="G166" i="14"/>
  <c r="G7" i="4"/>
  <c r="G7" i="21" s="1"/>
  <c r="I7" i="21"/>
  <c r="K7" i="21"/>
  <c r="I12" i="9"/>
  <c r="I70" i="9" s="1"/>
  <c r="I248" i="1"/>
  <c r="K12" i="9"/>
  <c r="K70" i="9" s="1"/>
  <c r="H12" i="9"/>
  <c r="H70" i="9" s="1"/>
  <c r="H248" i="1"/>
  <c r="J12" i="9"/>
  <c r="J70" i="9" s="1"/>
  <c r="J248" i="1"/>
  <c r="F56" i="22"/>
  <c r="G12" i="9"/>
  <c r="G70" i="9" s="1"/>
  <c r="G43" i="14"/>
  <c r="G44" i="14"/>
  <c r="E63" i="1"/>
  <c r="D35" i="2"/>
  <c r="I65" i="1"/>
  <c r="G65" i="1"/>
  <c r="J65" i="1"/>
  <c r="H65" i="1"/>
  <c r="G47" i="14"/>
  <c r="H74" i="14"/>
  <c r="H105" i="1"/>
  <c r="H113" i="1"/>
  <c r="H111" i="1"/>
  <c r="D264" i="4"/>
  <c r="B262" i="4"/>
  <c r="J264" i="4" l="1"/>
  <c r="K264" i="4"/>
  <c r="L264" i="4"/>
  <c r="M264" i="4"/>
  <c r="H264" i="4"/>
  <c r="G264" i="4"/>
  <c r="I264" i="4"/>
  <c r="F264" i="4"/>
  <c r="E265" i="4"/>
  <c r="C266" i="4"/>
  <c r="F8" i="22"/>
  <c r="D128" i="28"/>
  <c r="L244" i="1"/>
  <c r="L47" i="21" s="1"/>
  <c r="L77" i="21" s="1"/>
  <c r="M73" i="4"/>
  <c r="M37" i="21"/>
  <c r="L55" i="21"/>
  <c r="L249" i="1"/>
  <c r="L251" i="1"/>
  <c r="L245" i="1"/>
  <c r="L243" i="1"/>
  <c r="L232" i="1"/>
  <c r="L237" i="1" s="1"/>
  <c r="L228" i="1"/>
  <c r="L73" i="4" s="1"/>
  <c r="G14" i="25"/>
  <c r="G150" i="3"/>
  <c r="G149" i="3"/>
  <c r="M38" i="21"/>
  <c r="M68" i="21" s="1"/>
  <c r="M11" i="4"/>
  <c r="M56" i="21"/>
  <c r="M86" i="21" s="1"/>
  <c r="G208" i="3"/>
  <c r="M47" i="21"/>
  <c r="M77" i="21" s="1"/>
  <c r="G9" i="9"/>
  <c r="G67" i="9" s="1"/>
  <c r="J8" i="22"/>
  <c r="H22" i="4"/>
  <c r="G8" i="22"/>
  <c r="I14" i="21"/>
  <c r="H8" i="22"/>
  <c r="J22" i="4"/>
  <c r="I8" i="22"/>
  <c r="K14" i="21"/>
  <c r="H14" i="21"/>
  <c r="I22" i="4"/>
  <c r="J14" i="21"/>
  <c r="G14" i="21"/>
  <c r="H26" i="22"/>
  <c r="L75" i="4"/>
  <c r="L38" i="9" s="1"/>
  <c r="L94" i="9" s="1"/>
  <c r="L39" i="21"/>
  <c r="L69" i="21" s="1"/>
  <c r="L105" i="21" s="1"/>
  <c r="M75" i="4"/>
  <c r="M38" i="9" s="1"/>
  <c r="M94" i="9" s="1"/>
  <c r="M39" i="21"/>
  <c r="M69" i="21" s="1"/>
  <c r="M105" i="21" s="1"/>
  <c r="M74" i="4"/>
  <c r="M37" i="9"/>
  <c r="K7" i="1"/>
  <c r="G99" i="4"/>
  <c r="I4" i="22"/>
  <c r="J7" i="1"/>
  <c r="J8" i="21"/>
  <c r="I7" i="1"/>
  <c r="I8" i="21"/>
  <c r="H4" i="22"/>
  <c r="G4" i="22"/>
  <c r="H7" i="1"/>
  <c r="H8" i="21"/>
  <c r="K8" i="21"/>
  <c r="J4" i="22"/>
  <c r="F4" i="22"/>
  <c r="G7" i="1"/>
  <c r="G46" i="1" s="1"/>
  <c r="G8" i="4"/>
  <c r="I74" i="14"/>
  <c r="I105" i="1"/>
  <c r="I113" i="1"/>
  <c r="I111" i="1"/>
  <c r="D265" i="4"/>
  <c r="B264" i="4"/>
  <c r="B263" i="4"/>
  <c r="I86" i="27" l="1"/>
  <c r="K265" i="4"/>
  <c r="L265" i="4"/>
  <c r="M265" i="4"/>
  <c r="G265" i="4"/>
  <c r="H265" i="4"/>
  <c r="I265" i="4"/>
  <c r="J265" i="4"/>
  <c r="F265" i="4"/>
  <c r="E266" i="4"/>
  <c r="C267" i="4"/>
  <c r="G22" i="4"/>
  <c r="G21" i="4"/>
  <c r="G8" i="21"/>
  <c r="L9" i="22"/>
  <c r="K22" i="4"/>
  <c r="G6" i="24"/>
  <c r="G8" i="24" s="1"/>
  <c r="G60" i="3"/>
  <c r="D67" i="28" s="1"/>
  <c r="G54" i="3"/>
  <c r="L37" i="9"/>
  <c r="L74" i="4"/>
  <c r="L37" i="21"/>
  <c r="L38" i="21"/>
  <c r="L68" i="21" s="1"/>
  <c r="L56" i="21"/>
  <c r="L86" i="21" s="1"/>
  <c r="G7" i="24"/>
  <c r="G56" i="22"/>
  <c r="H99" i="4"/>
  <c r="M12" i="21"/>
  <c r="J12" i="21"/>
  <c r="H12" i="21"/>
  <c r="L11" i="4"/>
  <c r="K12" i="21"/>
  <c r="M104" i="21"/>
  <c r="G11" i="4"/>
  <c r="I12" i="21"/>
  <c r="I26" i="22"/>
  <c r="H32" i="21"/>
  <c r="G110" i="21"/>
  <c r="K8" i="1"/>
  <c r="K193" i="1" s="1"/>
  <c r="K49" i="1"/>
  <c r="K46" i="1"/>
  <c r="K47" i="1" s="1"/>
  <c r="K48" i="1" s="1"/>
  <c r="H49" i="1"/>
  <c r="H46" i="1"/>
  <c r="H47" i="1" s="1"/>
  <c r="H48" i="1" s="1"/>
  <c r="H8" i="1"/>
  <c r="H193" i="1" s="1"/>
  <c r="I49" i="1"/>
  <c r="I46" i="1"/>
  <c r="I47" i="1" s="1"/>
  <c r="I48" i="1" s="1"/>
  <c r="I8" i="1"/>
  <c r="I193" i="1" s="1"/>
  <c r="J49" i="1"/>
  <c r="J46" i="1"/>
  <c r="J47" i="1" s="1"/>
  <c r="J48" i="1" s="1"/>
  <c r="J8" i="1"/>
  <c r="J193" i="1" s="1"/>
  <c r="G49" i="1"/>
  <c r="G8" i="1"/>
  <c r="G47" i="1"/>
  <c r="G48" i="1" s="1"/>
  <c r="J74" i="14"/>
  <c r="J105" i="1"/>
  <c r="J113" i="1"/>
  <c r="J111" i="1"/>
  <c r="D266" i="4"/>
  <c r="C86" i="27" l="1"/>
  <c r="H86" i="27"/>
  <c r="L266" i="4"/>
  <c r="M266" i="4"/>
  <c r="G266" i="4"/>
  <c r="H266" i="4"/>
  <c r="J266" i="4"/>
  <c r="I266" i="4"/>
  <c r="K266" i="4"/>
  <c r="F266" i="4"/>
  <c r="E267" i="4"/>
  <c r="C268" i="4"/>
  <c r="F9" i="22"/>
  <c r="K9" i="22"/>
  <c r="L104" i="21"/>
  <c r="G193" i="1"/>
  <c r="G199" i="1" s="1"/>
  <c r="G253" i="1"/>
  <c r="H197" i="1"/>
  <c r="H199" i="1"/>
  <c r="H195" i="1"/>
  <c r="K197" i="1"/>
  <c r="K199" i="1"/>
  <c r="K195" i="1"/>
  <c r="I197" i="1"/>
  <c r="I199" i="1"/>
  <c r="I195" i="1"/>
  <c r="J195" i="1"/>
  <c r="J199" i="1"/>
  <c r="J197" i="1"/>
  <c r="H56" i="22"/>
  <c r="I99" i="4"/>
  <c r="L12" i="21"/>
  <c r="G9" i="22"/>
  <c r="H9" i="22"/>
  <c r="I9" i="22"/>
  <c r="G12" i="21"/>
  <c r="J9" i="22"/>
  <c r="J26" i="22"/>
  <c r="I32" i="21"/>
  <c r="H110" i="21"/>
  <c r="K111" i="1"/>
  <c r="K113" i="1"/>
  <c r="K105" i="1"/>
  <c r="K253" i="1"/>
  <c r="J253" i="1"/>
  <c r="H253" i="1"/>
  <c r="I253" i="1"/>
  <c r="K74" i="14"/>
  <c r="B266" i="4"/>
  <c r="B265" i="4"/>
  <c r="D267" i="4"/>
  <c r="M267" i="4" l="1"/>
  <c r="G267" i="4"/>
  <c r="H267" i="4"/>
  <c r="K267" i="4"/>
  <c r="I267" i="4"/>
  <c r="J267" i="4"/>
  <c r="L267" i="4"/>
  <c r="F267" i="4"/>
  <c r="E268" i="4"/>
  <c r="G197" i="1"/>
  <c r="G195" i="1"/>
  <c r="G254" i="1"/>
  <c r="G255" i="1"/>
  <c r="G48" i="21" s="1"/>
  <c r="G78" i="21" s="1"/>
  <c r="G256" i="1"/>
  <c r="G57" i="21" s="1"/>
  <c r="G87" i="21" s="1"/>
  <c r="J204" i="1"/>
  <c r="J201" i="1"/>
  <c r="J200" i="1"/>
  <c r="J202" i="1"/>
  <c r="I204" i="1"/>
  <c r="I200" i="1"/>
  <c r="I202" i="1"/>
  <c r="I201" i="1"/>
  <c r="H200" i="1"/>
  <c r="H201" i="1"/>
  <c r="H204" i="1"/>
  <c r="H202" i="1"/>
  <c r="K202" i="1"/>
  <c r="K200" i="1"/>
  <c r="K204" i="1"/>
  <c r="K201" i="1"/>
  <c r="G204" i="1"/>
  <c r="G201" i="1"/>
  <c r="G202" i="1"/>
  <c r="G200" i="1"/>
  <c r="I56" i="22"/>
  <c r="J99" i="4"/>
  <c r="K26" i="22"/>
  <c r="J32" i="21"/>
  <c r="I110" i="21"/>
  <c r="L74" i="14"/>
  <c r="L113" i="1"/>
  <c r="L105" i="1"/>
  <c r="L111" i="1"/>
  <c r="K254" i="1"/>
  <c r="K256" i="1"/>
  <c r="K57" i="21" s="1"/>
  <c r="K87" i="21" s="1"/>
  <c r="K255" i="1"/>
  <c r="K48" i="21" s="1"/>
  <c r="K78" i="21" s="1"/>
  <c r="I256" i="1"/>
  <c r="I57" i="21" s="1"/>
  <c r="I87" i="21" s="1"/>
  <c r="I255" i="1"/>
  <c r="I48" i="21" s="1"/>
  <c r="I78" i="21" s="1"/>
  <c r="I254" i="1"/>
  <c r="J256" i="1"/>
  <c r="J57" i="21" s="1"/>
  <c r="J87" i="21" s="1"/>
  <c r="J255" i="1"/>
  <c r="J48" i="21" s="1"/>
  <c r="J78" i="21" s="1"/>
  <c r="J254" i="1"/>
  <c r="H256" i="1"/>
  <c r="H57" i="21" s="1"/>
  <c r="H87" i="21" s="1"/>
  <c r="H255" i="1"/>
  <c r="H48" i="21" s="1"/>
  <c r="H78" i="21" s="1"/>
  <c r="H254" i="1"/>
  <c r="D268" i="4"/>
  <c r="B267" i="4"/>
  <c r="G268" i="4" l="1"/>
  <c r="H268" i="4"/>
  <c r="I268" i="4"/>
  <c r="J268" i="4"/>
  <c r="K268" i="4"/>
  <c r="L268" i="4"/>
  <c r="M268" i="4"/>
  <c r="F268" i="4"/>
  <c r="K209" i="1"/>
  <c r="K206" i="1"/>
  <c r="K207" i="1"/>
  <c r="K205" i="1"/>
  <c r="H207" i="1"/>
  <c r="H206" i="1"/>
  <c r="H205" i="1"/>
  <c r="H209" i="1"/>
  <c r="I209" i="1"/>
  <c r="I206" i="1"/>
  <c r="I207" i="1"/>
  <c r="I205" i="1"/>
  <c r="J207" i="1"/>
  <c r="J209" i="1"/>
  <c r="J206" i="1"/>
  <c r="J205" i="1"/>
  <c r="G206" i="1"/>
  <c r="G207" i="1"/>
  <c r="G205" i="1"/>
  <c r="G209" i="1"/>
  <c r="H39" i="21"/>
  <c r="H69" i="21" s="1"/>
  <c r="H105" i="21" s="1"/>
  <c r="H75" i="4"/>
  <c r="H38" i="9" s="1"/>
  <c r="H94" i="9" s="1"/>
  <c r="I39" i="21"/>
  <c r="I69" i="21" s="1"/>
  <c r="I105" i="21" s="1"/>
  <c r="I75" i="4"/>
  <c r="I38" i="9" s="1"/>
  <c r="I94" i="9" s="1"/>
  <c r="J39" i="21"/>
  <c r="J69" i="21" s="1"/>
  <c r="J105" i="21" s="1"/>
  <c r="J75" i="4"/>
  <c r="J38" i="9" s="1"/>
  <c r="J94" i="9" s="1"/>
  <c r="K39" i="21"/>
  <c r="K69" i="21" s="1"/>
  <c r="K105" i="21" s="1"/>
  <c r="K75" i="4"/>
  <c r="K38" i="9" s="1"/>
  <c r="K94" i="9" s="1"/>
  <c r="K32" i="21"/>
  <c r="K99" i="4"/>
  <c r="L26" i="22"/>
  <c r="J56" i="22"/>
  <c r="J110" i="21"/>
  <c r="M105" i="1"/>
  <c r="M113" i="1"/>
  <c r="M111" i="1"/>
  <c r="G75" i="4"/>
  <c r="G38" i="9" s="1"/>
  <c r="G94" i="9" s="1"/>
  <c r="G39" i="21"/>
  <c r="G69" i="21" s="1"/>
  <c r="G105" i="21" s="1"/>
  <c r="B268" i="4"/>
  <c r="H211" i="1" l="1"/>
  <c r="H212" i="1"/>
  <c r="H210" i="1"/>
  <c r="H220" i="1"/>
  <c r="H230" i="1" s="1"/>
  <c r="J210" i="1"/>
  <c r="J220" i="1"/>
  <c r="J230" i="1" s="1"/>
  <c r="J212" i="1"/>
  <c r="J211" i="1"/>
  <c r="I211" i="1"/>
  <c r="I220" i="1"/>
  <c r="I230" i="1" s="1"/>
  <c r="I212" i="1"/>
  <c r="I210" i="1"/>
  <c r="K212" i="1"/>
  <c r="K210" i="1"/>
  <c r="K211" i="1"/>
  <c r="K220" i="1"/>
  <c r="K230" i="1" s="1"/>
  <c r="G210" i="1"/>
  <c r="G220" i="1"/>
  <c r="G212" i="1"/>
  <c r="G211" i="1"/>
  <c r="L99" i="4"/>
  <c r="K56" i="22"/>
  <c r="K110" i="21"/>
  <c r="L32" i="21"/>
  <c r="G230" i="1" l="1"/>
  <c r="G242" i="1"/>
  <c r="K240" i="1"/>
  <c r="K239" i="1"/>
  <c r="K235" i="1"/>
  <c r="K224" i="1"/>
  <c r="K226" i="1"/>
  <c r="K233" i="1"/>
  <c r="K238" i="1"/>
  <c r="K234" i="1"/>
  <c r="K222" i="1"/>
  <c r="H239" i="1"/>
  <c r="H222" i="1"/>
  <c r="H224" i="1"/>
  <c r="H233" i="1"/>
  <c r="H240" i="1"/>
  <c r="H226" i="1"/>
  <c r="H238" i="1"/>
  <c r="H234" i="1"/>
  <c r="H235" i="1"/>
  <c r="I239" i="1"/>
  <c r="I240" i="1"/>
  <c r="I238" i="1"/>
  <c r="I224" i="1"/>
  <c r="I226" i="1"/>
  <c r="I234" i="1"/>
  <c r="I222" i="1"/>
  <c r="I235" i="1"/>
  <c r="I233" i="1"/>
  <c r="J226" i="1"/>
  <c r="J235" i="1"/>
  <c r="J234" i="1"/>
  <c r="J238" i="1"/>
  <c r="J222" i="1"/>
  <c r="J239" i="1"/>
  <c r="J233" i="1"/>
  <c r="J240" i="1"/>
  <c r="J224" i="1"/>
  <c r="G226" i="1"/>
  <c r="G238" i="1"/>
  <c r="G234" i="1"/>
  <c r="G222" i="1"/>
  <c r="G239" i="1"/>
  <c r="G235" i="1"/>
  <c r="G240" i="1"/>
  <c r="G224" i="1"/>
  <c r="G233" i="1"/>
  <c r="M99" i="4"/>
  <c r="L56" i="22"/>
  <c r="L110" i="21"/>
  <c r="M32" i="21"/>
  <c r="I55" i="21" l="1"/>
  <c r="H55" i="21"/>
  <c r="K55" i="21"/>
  <c r="G55" i="21"/>
  <c r="J55" i="21"/>
  <c r="G245" i="1"/>
  <c r="G244" i="1"/>
  <c r="G247" i="1"/>
  <c r="G243" i="1"/>
  <c r="I228" i="1"/>
  <c r="I73" i="4" s="1"/>
  <c r="I232" i="1"/>
  <c r="I237" i="1" s="1"/>
  <c r="H232" i="1"/>
  <c r="H237" i="1" s="1"/>
  <c r="H228" i="1"/>
  <c r="H73" i="4" s="1"/>
  <c r="J232" i="1"/>
  <c r="J237" i="1" s="1"/>
  <c r="J228" i="1"/>
  <c r="J73" i="4" s="1"/>
  <c r="K232" i="1"/>
  <c r="K237" i="1" s="1"/>
  <c r="K228" i="1"/>
  <c r="K73" i="4" s="1"/>
  <c r="G228" i="1"/>
  <c r="G73" i="4" s="1"/>
  <c r="G232" i="1"/>
  <c r="G237" i="1" s="1"/>
  <c r="M110" i="21"/>
  <c r="K242" i="1"/>
  <c r="J242" i="1"/>
  <c r="H242" i="1"/>
  <c r="I242" i="1"/>
  <c r="K37" i="21" l="1"/>
  <c r="J37" i="21"/>
  <c r="H37" i="21"/>
  <c r="I37" i="21"/>
  <c r="G37" i="21"/>
  <c r="G251" i="1"/>
  <c r="G250" i="1"/>
  <c r="G249" i="1"/>
  <c r="K243" i="1"/>
  <c r="K245" i="1"/>
  <c r="K247" i="1"/>
  <c r="K244" i="1"/>
  <c r="H247" i="1"/>
  <c r="H245" i="1"/>
  <c r="H244" i="1"/>
  <c r="H243" i="1"/>
  <c r="J247" i="1"/>
  <c r="J245" i="1"/>
  <c r="J244" i="1"/>
  <c r="J243" i="1"/>
  <c r="I247" i="1"/>
  <c r="I245" i="1"/>
  <c r="I244" i="1"/>
  <c r="I243" i="1"/>
  <c r="K250" i="1" l="1"/>
  <c r="K47" i="21" s="1"/>
  <c r="K77" i="21" s="1"/>
  <c r="K251" i="1"/>
  <c r="K56" i="21" s="1"/>
  <c r="K86" i="21" s="1"/>
  <c r="K249" i="1"/>
  <c r="K38" i="21" s="1"/>
  <c r="K68" i="21" s="1"/>
  <c r="I251" i="1"/>
  <c r="I56" i="21" s="1"/>
  <c r="I86" i="21" s="1"/>
  <c r="I250" i="1"/>
  <c r="I47" i="21" s="1"/>
  <c r="I77" i="21" s="1"/>
  <c r="I249" i="1"/>
  <c r="I37" i="9" s="1"/>
  <c r="J251" i="1"/>
  <c r="J56" i="21" s="1"/>
  <c r="J86" i="21" s="1"/>
  <c r="J250" i="1"/>
  <c r="J47" i="21" s="1"/>
  <c r="J77" i="21" s="1"/>
  <c r="J249" i="1"/>
  <c r="J38" i="21" s="1"/>
  <c r="J68" i="21" s="1"/>
  <c r="H251" i="1"/>
  <c r="H56" i="21" s="1"/>
  <c r="H86" i="21" s="1"/>
  <c r="H250" i="1"/>
  <c r="H47" i="21" s="1"/>
  <c r="H77" i="21" s="1"/>
  <c r="H249" i="1"/>
  <c r="H38" i="21" s="1"/>
  <c r="H68" i="21" s="1"/>
  <c r="G47" i="21"/>
  <c r="G77" i="21" s="1"/>
  <c r="G56" i="21"/>
  <c r="G86" i="21" s="1"/>
  <c r="G37" i="9"/>
  <c r="I74" i="4" l="1"/>
  <c r="K74" i="4"/>
  <c r="H74" i="4"/>
  <c r="J74" i="4"/>
  <c r="H104" i="21"/>
  <c r="J104" i="21"/>
  <c r="K104" i="21"/>
  <c r="I38" i="21"/>
  <c r="I68" i="21" s="1"/>
  <c r="I104" i="21" s="1"/>
  <c r="G38" i="21"/>
  <c r="G68" i="21" s="1"/>
  <c r="G104" i="21" s="1"/>
  <c r="G74" i="4"/>
  <c r="K37" i="9"/>
  <c r="H37" i="9"/>
  <c r="J37" i="9"/>
  <c r="P62" i="3" l="1"/>
  <c r="G102" i="1" l="1"/>
  <c r="M36" i="9" l="1"/>
  <c r="M93" i="9" s="1"/>
  <c r="G36" i="9"/>
  <c r="G93" i="9" s="1"/>
  <c r="H36" i="9"/>
  <c r="H93" i="9" s="1"/>
  <c r="I36" i="9"/>
  <c r="I93" i="9" s="1"/>
  <c r="J36" i="9"/>
  <c r="J93" i="9" s="1"/>
  <c r="K36" i="9"/>
  <c r="K93" i="9" s="1"/>
  <c r="L36" i="9"/>
  <c r="L93" i="9" s="1"/>
  <c r="G85" i="21" l="1"/>
  <c r="H85" i="21"/>
  <c r="I85" i="21"/>
  <c r="J85" i="21"/>
  <c r="K85" i="21"/>
  <c r="L85" i="21"/>
  <c r="M85" i="21"/>
  <c r="G67" i="21"/>
  <c r="H67" i="21"/>
  <c r="I67" i="21"/>
  <c r="J67" i="21"/>
  <c r="K67" i="21"/>
  <c r="L67" i="21"/>
  <c r="M67" i="21"/>
  <c r="G161" i="3" l="1"/>
  <c r="G177" i="3"/>
  <c r="F80" i="3" l="1"/>
  <c r="F194" i="3" l="1"/>
  <c r="E54" i="1" l="1"/>
  <c r="E19" i="3" l="1"/>
  <c r="F19" i="3"/>
  <c r="G43" i="3" l="1"/>
  <c r="M43" i="3"/>
  <c r="L43" i="3"/>
  <c r="J43" i="3"/>
  <c r="H43" i="3"/>
  <c r="K43" i="3"/>
  <c r="I43" i="3"/>
  <c r="E9" i="3"/>
  <c r="F13" i="3" l="1"/>
  <c r="I41" i="3" s="1"/>
  <c r="I98" i="3" s="1"/>
  <c r="E13" i="3"/>
  <c r="M41" i="3" l="1"/>
  <c r="M98" i="3" s="1"/>
  <c r="J41" i="3"/>
  <c r="J98" i="3" s="1"/>
  <c r="H41" i="3"/>
  <c r="H98" i="3" s="1"/>
  <c r="K41" i="3"/>
  <c r="K98" i="3" s="1"/>
  <c r="L41" i="3"/>
  <c r="L98" i="3" s="1"/>
  <c r="G41" i="3"/>
  <c r="M21" i="24" l="1"/>
  <c r="G98" i="3"/>
  <c r="G21" i="24"/>
  <c r="L21" i="24"/>
  <c r="J21" i="24"/>
  <c r="K21" i="24"/>
  <c r="I21" i="24"/>
  <c r="H21" i="24"/>
  <c r="F173" i="4"/>
  <c r="F168" i="4"/>
  <c r="F172" i="4"/>
  <c r="F170" i="4"/>
  <c r="F164" i="4"/>
  <c r="F166" i="4"/>
  <c r="F154" i="4"/>
  <c r="F165" i="4"/>
  <c r="F158" i="4"/>
  <c r="F171" i="4"/>
  <c r="F159" i="4"/>
  <c r="F155" i="4"/>
  <c r="F156" i="4"/>
  <c r="F162" i="4"/>
  <c r="F157" i="4"/>
  <c r="F163" i="4"/>
  <c r="F161" i="4"/>
  <c r="F160" i="4"/>
  <c r="F169" i="4"/>
  <c r="F167" i="4"/>
  <c r="D137" i="28" l="1"/>
  <c r="E137" i="28"/>
  <c r="F137" i="28"/>
  <c r="H137" i="28"/>
  <c r="I137" i="28"/>
  <c r="J137" i="28"/>
  <c r="G109" i="3" l="1"/>
  <c r="H109" i="3"/>
  <c r="I109" i="3"/>
  <c r="J109" i="3"/>
  <c r="K109" i="3"/>
  <c r="L109" i="3"/>
  <c r="M109" i="3"/>
  <c r="G168" i="3" l="1"/>
  <c r="H168" i="3"/>
  <c r="I168" i="3"/>
  <c r="J168" i="3"/>
  <c r="K168" i="3"/>
  <c r="L168" i="3"/>
  <c r="M168" i="3"/>
  <c r="D138" i="28" l="1"/>
  <c r="E138" i="28"/>
  <c r="F138" i="28"/>
  <c r="H138" i="28"/>
  <c r="I138" i="28"/>
  <c r="J138" i="28"/>
  <c r="C87" i="27"/>
  <c r="D87" i="27"/>
  <c r="E87" i="27"/>
  <c r="F87" i="27"/>
  <c r="G87" i="27"/>
  <c r="H87" i="27"/>
  <c r="I87" i="27"/>
  <c r="D145" i="28"/>
  <c r="E145" i="28"/>
  <c r="F145" i="28"/>
  <c r="H145" i="28"/>
  <c r="I145" i="28"/>
  <c r="J145" i="28"/>
  <c r="C94" i="27"/>
  <c r="D94" i="27"/>
  <c r="E94" i="27"/>
  <c r="F94" i="27"/>
  <c r="G94" i="27"/>
  <c r="H94" i="27"/>
  <c r="I94" i="27"/>
  <c r="H180" i="4"/>
  <c r="H214" i="4"/>
  <c r="J182" i="4"/>
  <c r="K176" i="4"/>
  <c r="G182" i="4"/>
  <c r="J180" i="4"/>
  <c r="M176" i="4"/>
  <c r="L180" i="4"/>
  <c r="I180" i="4"/>
  <c r="M182" i="4"/>
  <c r="K180" i="4"/>
  <c r="M214" i="4"/>
  <c r="L176" i="4"/>
  <c r="I176" i="4"/>
  <c r="I214" i="4"/>
  <c r="K173" i="4"/>
  <c r="K182" i="4"/>
  <c r="G214" i="4"/>
  <c r="H173" i="4"/>
  <c r="M180" i="4"/>
  <c r="L214" i="4"/>
  <c r="G176" i="4"/>
  <c r="I173" i="4"/>
  <c r="M173" i="4"/>
  <c r="J176" i="4"/>
  <c r="L182" i="4"/>
  <c r="H182" i="4"/>
  <c r="G180" i="4"/>
  <c r="K214" i="4"/>
  <c r="I182" i="4"/>
  <c r="L173" i="4"/>
  <c r="J214" i="4"/>
  <c r="G173" i="4"/>
  <c r="J173" i="4"/>
  <c r="H176" i="4"/>
  <c r="I157" i="28" l="1"/>
  <c r="E166" i="28"/>
  <c r="G166" i="28"/>
  <c r="H166" i="28"/>
  <c r="J166" i="28"/>
  <c r="I167" i="28"/>
  <c r="I166" i="28"/>
  <c r="F157" i="28"/>
  <c r="G163" i="28"/>
  <c r="D157" i="28"/>
  <c r="G167" i="28"/>
  <c r="J167" i="28"/>
  <c r="F155" i="28"/>
  <c r="G157" i="28"/>
  <c r="I155" i="28"/>
  <c r="H167" i="28"/>
  <c r="D166" i="28"/>
  <c r="D163" i="28"/>
  <c r="F167" i="28"/>
  <c r="I163" i="28"/>
  <c r="J157" i="28"/>
  <c r="F166" i="28"/>
  <c r="D167" i="28"/>
  <c r="E167" i="28"/>
  <c r="H163" i="28"/>
  <c r="E155" i="28"/>
  <c r="D155" i="28"/>
  <c r="E157" i="28"/>
  <c r="F163" i="28"/>
  <c r="H157" i="28"/>
  <c r="J163" i="28"/>
  <c r="G155" i="28"/>
  <c r="J155" i="28"/>
  <c r="E163" i="28"/>
  <c r="H155" i="28"/>
  <c r="J154" i="28" l="1"/>
  <c r="I154" i="28"/>
  <c r="H154" i="28"/>
  <c r="G154" i="28"/>
  <c r="F154" i="28"/>
  <c r="E154" i="28"/>
  <c r="D154" i="28"/>
  <c r="D152" i="28" l="1"/>
  <c r="E152" i="28"/>
  <c r="F152" i="28"/>
  <c r="G152" i="28"/>
  <c r="H152" i="28"/>
  <c r="I152" i="28"/>
  <c r="J152" i="28"/>
  <c r="D153" i="28"/>
  <c r="E153" i="28"/>
  <c r="F153" i="28"/>
  <c r="G153" i="28"/>
  <c r="H153" i="28"/>
  <c r="I153" i="28"/>
  <c r="J153" i="28"/>
  <c r="D158" i="28"/>
  <c r="E158" i="28"/>
  <c r="F158" i="28"/>
  <c r="G158" i="28"/>
  <c r="H158" i="28"/>
  <c r="I158" i="28"/>
  <c r="J158" i="28"/>
  <c r="D159" i="28"/>
  <c r="E159" i="28"/>
  <c r="F159" i="28"/>
  <c r="G159" i="28"/>
  <c r="H159" i="28"/>
  <c r="I159" i="28"/>
  <c r="J159" i="28"/>
  <c r="D160" i="28"/>
  <c r="E160" i="28"/>
  <c r="F160" i="28"/>
  <c r="G160" i="28"/>
  <c r="H160" i="28"/>
  <c r="I160" i="28"/>
  <c r="J160" i="28"/>
  <c r="D161" i="28"/>
  <c r="E161" i="28"/>
  <c r="F161" i="28"/>
  <c r="G161" i="28"/>
  <c r="H161" i="28"/>
  <c r="I161" i="28"/>
  <c r="J161" i="28"/>
  <c r="D162" i="28"/>
  <c r="E162" i="28"/>
  <c r="F162" i="28"/>
  <c r="G162" i="28"/>
  <c r="H162" i="28"/>
  <c r="I162" i="28"/>
  <c r="J162" i="28"/>
  <c r="D164" i="28"/>
  <c r="E164" i="28"/>
  <c r="F164" i="28"/>
  <c r="G164" i="28"/>
  <c r="H164" i="28"/>
  <c r="I164" i="28"/>
  <c r="J164" i="28"/>
  <c r="D165" i="28"/>
  <c r="E165" i="28"/>
  <c r="F165" i="28"/>
  <c r="G165" i="28"/>
  <c r="H165" i="28"/>
  <c r="I165" i="28"/>
  <c r="J165" i="28"/>
  <c r="D168" i="28"/>
  <c r="E168" i="28"/>
  <c r="F168" i="28"/>
  <c r="G168" i="28"/>
  <c r="H168" i="28"/>
  <c r="I168" i="28"/>
  <c r="J168" i="28"/>
  <c r="D169" i="28"/>
  <c r="E169" i="28"/>
  <c r="F169" i="28"/>
  <c r="G169" i="28"/>
  <c r="H169" i="28"/>
  <c r="I169" i="28"/>
  <c r="J169" i="28"/>
  <c r="D170" i="28"/>
  <c r="E170" i="28"/>
  <c r="F170" i="28"/>
  <c r="G170" i="28"/>
  <c r="H170" i="28"/>
  <c r="I170" i="28"/>
  <c r="J170" i="28"/>
  <c r="D171" i="28"/>
  <c r="E171" i="28"/>
  <c r="F171" i="28"/>
  <c r="G171" i="28"/>
  <c r="H171" i="28"/>
  <c r="I171" i="28"/>
  <c r="J171" i="28"/>
  <c r="D172" i="28"/>
  <c r="E172" i="28"/>
  <c r="F172" i="28"/>
  <c r="G172" i="28"/>
  <c r="H172" i="28"/>
  <c r="I172" i="28"/>
  <c r="J172" i="28"/>
  <c r="K195" i="4"/>
  <c r="J232" i="4"/>
  <c r="H217" i="4"/>
  <c r="I232" i="4"/>
  <c r="K191" i="4"/>
  <c r="G232" i="4"/>
  <c r="I217" i="4"/>
  <c r="G226" i="4"/>
  <c r="M194" i="4"/>
  <c r="I215" i="4"/>
  <c r="L216" i="4"/>
  <c r="L232" i="4"/>
  <c r="J227" i="4"/>
  <c r="G191" i="4"/>
  <c r="J195" i="4"/>
  <c r="K226" i="4"/>
  <c r="I195" i="4"/>
  <c r="H227" i="4"/>
  <c r="M227" i="4"/>
  <c r="G227" i="4"/>
  <c r="G217" i="4"/>
  <c r="L227" i="4"/>
  <c r="L217" i="4"/>
  <c r="K215" i="4"/>
  <c r="H191" i="4"/>
  <c r="H226" i="4"/>
  <c r="J194" i="4"/>
  <c r="G194" i="4"/>
  <c r="M232" i="4"/>
  <c r="M226" i="4"/>
  <c r="K216" i="4"/>
  <c r="M195" i="4"/>
  <c r="L195" i="4"/>
  <c r="M191" i="4"/>
  <c r="K232" i="4"/>
  <c r="H232" i="4"/>
  <c r="I216" i="4"/>
  <c r="K227" i="4"/>
  <c r="J226" i="4"/>
  <c r="K194" i="4"/>
  <c r="J217" i="4"/>
  <c r="H216" i="4"/>
  <c r="I226" i="4"/>
  <c r="I191" i="4"/>
  <c r="G216" i="4"/>
  <c r="J191" i="4"/>
  <c r="J215" i="4"/>
  <c r="L226" i="4"/>
  <c r="G215" i="4"/>
  <c r="I227" i="4"/>
  <c r="H215" i="4"/>
  <c r="M217" i="4"/>
  <c r="G195" i="4"/>
  <c r="H195" i="4"/>
  <c r="M215" i="4"/>
  <c r="L191" i="4"/>
  <c r="L215" i="4"/>
  <c r="H194" i="4"/>
  <c r="M216" i="4"/>
  <c r="I194" i="4"/>
  <c r="K217" i="4"/>
  <c r="J216" i="4"/>
  <c r="L194" i="4"/>
  <c r="D150" i="28" l="1"/>
  <c r="E150" i="28"/>
  <c r="F150" i="28"/>
  <c r="G150" i="28"/>
  <c r="H150" i="28"/>
  <c r="I150" i="28"/>
  <c r="J150" i="28"/>
  <c r="D151" i="28"/>
  <c r="E151" i="28"/>
  <c r="F151" i="28"/>
  <c r="G151" i="28"/>
  <c r="H151" i="28"/>
  <c r="I151" i="28"/>
  <c r="J151" i="28"/>
  <c r="D149" i="28" l="1"/>
  <c r="E149" i="28"/>
  <c r="F149" i="28"/>
  <c r="G149" i="28"/>
  <c r="H149" i="28"/>
  <c r="I149" i="28"/>
  <c r="J149" i="28"/>
  <c r="D147" i="28"/>
  <c r="E147" i="28"/>
  <c r="F147" i="28"/>
  <c r="G147" i="28"/>
  <c r="H147" i="28"/>
  <c r="I147" i="28"/>
  <c r="J147" i="28"/>
  <c r="D148" i="28"/>
  <c r="E148" i="28"/>
  <c r="F148" i="28"/>
  <c r="G148" i="28"/>
  <c r="H148" i="28"/>
  <c r="I148" i="28"/>
  <c r="J148" i="28"/>
  <c r="C96" i="27"/>
  <c r="D96" i="27"/>
  <c r="E96" i="27"/>
  <c r="F96" i="27"/>
  <c r="G96" i="27"/>
  <c r="H96" i="27"/>
  <c r="I96" i="27"/>
  <c r="C97" i="27"/>
  <c r="D97" i="27"/>
  <c r="E97" i="27"/>
  <c r="F97" i="27"/>
  <c r="G97" i="27"/>
  <c r="H97" i="27"/>
  <c r="I97" i="27"/>
  <c r="G185" i="3" l="1"/>
  <c r="G187" i="3" s="1"/>
  <c r="H185" i="3"/>
  <c r="H187" i="3" s="1"/>
  <c r="I185" i="3"/>
  <c r="I187" i="3" s="1"/>
  <c r="J185" i="3"/>
  <c r="J187" i="3" s="1"/>
  <c r="K185" i="3"/>
  <c r="K187" i="3" s="1"/>
  <c r="L185" i="3"/>
  <c r="L187" i="3" s="1"/>
  <c r="M185" i="3"/>
  <c r="M188" i="3" s="1"/>
  <c r="G188" i="3"/>
  <c r="H188" i="3" l="1"/>
  <c r="I188" i="3"/>
  <c r="H43" i="22" s="1"/>
  <c r="K188" i="3"/>
  <c r="J43" i="22" s="1"/>
  <c r="J188" i="3"/>
  <c r="I43" i="22" s="1"/>
  <c r="L188" i="3"/>
  <c r="K43" i="22" s="1"/>
  <c r="M187" i="3"/>
  <c r="L28" i="22" s="1"/>
  <c r="F28" i="22"/>
  <c r="G28" i="22"/>
  <c r="H28" i="22"/>
  <c r="I28" i="22"/>
  <c r="J28" i="22"/>
  <c r="K28" i="22"/>
  <c r="F43" i="22"/>
  <c r="G43" i="22"/>
  <c r="L43" i="22"/>
  <c r="D65" i="28" l="1"/>
  <c r="D66" i="28" s="1"/>
  <c r="E65" i="28"/>
  <c r="E66" i="28" s="1"/>
  <c r="F65" i="28"/>
  <c r="F66" i="28" s="1"/>
  <c r="G65" i="28"/>
  <c r="G66" i="28" s="1"/>
  <c r="H65" i="28"/>
  <c r="H66" i="28" s="1"/>
  <c r="I65" i="28"/>
  <c r="I66" i="28" s="1"/>
  <c r="J65" i="28"/>
  <c r="J66" i="28" s="1"/>
  <c r="G28" i="24"/>
  <c r="G31" i="24" s="1"/>
  <c r="G32" i="24" s="1"/>
  <c r="G33" i="24" s="1"/>
  <c r="G117" i="4" s="1"/>
  <c r="H28" i="24"/>
  <c r="H31" i="24" s="1"/>
  <c r="H115" i="4" s="1"/>
  <c r="I28" i="24"/>
  <c r="I31" i="24" s="1"/>
  <c r="J28" i="24"/>
  <c r="J31" i="24" s="1"/>
  <c r="K28" i="24"/>
  <c r="K31" i="24" s="1"/>
  <c r="K115" i="4" s="1"/>
  <c r="L28" i="24"/>
  <c r="L31" i="24" s="1"/>
  <c r="L115" i="4" s="1"/>
  <c r="M28" i="24"/>
  <c r="M31" i="24" s="1"/>
  <c r="G52" i="24"/>
  <c r="H52" i="24"/>
  <c r="I52" i="24"/>
  <c r="J52" i="24"/>
  <c r="K52" i="24"/>
  <c r="L52" i="24"/>
  <c r="M52" i="24"/>
  <c r="G55" i="24"/>
  <c r="G113" i="4" s="1"/>
  <c r="H55" i="24"/>
  <c r="H113" i="4" s="1"/>
  <c r="I55" i="24"/>
  <c r="I113" i="4" s="1"/>
  <c r="J55" i="24"/>
  <c r="J113" i="4" s="1"/>
  <c r="K55" i="24"/>
  <c r="K113" i="4" s="1"/>
  <c r="L55" i="24"/>
  <c r="L113" i="4" s="1"/>
  <c r="M55" i="24"/>
  <c r="M113" i="4" s="1"/>
  <c r="H179" i="4"/>
  <c r="G179" i="4"/>
  <c r="M179" i="4"/>
  <c r="G175" i="4"/>
  <c r="J179" i="4"/>
  <c r="K179" i="4"/>
  <c r="I179" i="4"/>
  <c r="L179" i="4"/>
  <c r="I34" i="24" l="1"/>
  <c r="I118" i="4" s="1"/>
  <c r="I115" i="4"/>
  <c r="J32" i="24"/>
  <c r="J33" i="24" s="1"/>
  <c r="I14" i="22" s="1"/>
  <c r="J20" i="4" s="1"/>
  <c r="J115" i="4"/>
  <c r="J34" i="24"/>
  <c r="J118" i="4" s="1"/>
  <c r="M32" i="24"/>
  <c r="M115" i="4"/>
  <c r="G115" i="4"/>
  <c r="G34" i="24"/>
  <c r="G36" i="24" s="1"/>
  <c r="G120" i="4" s="1"/>
  <c r="G116" i="4"/>
  <c r="F144" i="28"/>
  <c r="E93" i="27"/>
  <c r="D144" i="28"/>
  <c r="C93" i="27"/>
  <c r="E144" i="28"/>
  <c r="D93" i="27"/>
  <c r="H93" i="27"/>
  <c r="I144" i="28"/>
  <c r="H144" i="28"/>
  <c r="G93" i="27"/>
  <c r="J144" i="28"/>
  <c r="I93" i="27"/>
  <c r="G144" i="28"/>
  <c r="F93" i="27"/>
  <c r="L32" i="24"/>
  <c r="L34" i="24"/>
  <c r="K34" i="24"/>
  <c r="K32" i="24"/>
  <c r="H34" i="24"/>
  <c r="H32" i="24"/>
  <c r="M34" i="24"/>
  <c r="I32" i="24"/>
  <c r="F13" i="22"/>
  <c r="G19" i="4" s="1"/>
  <c r="G13" i="22"/>
  <c r="H19" i="4" s="1"/>
  <c r="H13" i="22"/>
  <c r="I19" i="4" s="1"/>
  <c r="I13" i="22"/>
  <c r="J19" i="4" s="1"/>
  <c r="J13" i="22"/>
  <c r="K19" i="4" s="1"/>
  <c r="K13" i="22"/>
  <c r="L19" i="4" s="1"/>
  <c r="L13" i="22"/>
  <c r="M19" i="4" s="1"/>
  <c r="F14" i="22"/>
  <c r="G20" i="4" s="1"/>
  <c r="J175" i="4"/>
  <c r="I36" i="24" l="1"/>
  <c r="I120" i="4" s="1"/>
  <c r="J116" i="4"/>
  <c r="I35" i="24"/>
  <c r="I119" i="4" s="1"/>
  <c r="J35" i="24"/>
  <c r="J119" i="4" s="1"/>
  <c r="J36" i="24"/>
  <c r="J120" i="4" s="1"/>
  <c r="G35" i="24"/>
  <c r="G119" i="4" s="1"/>
  <c r="G118" i="4"/>
  <c r="J117" i="4"/>
  <c r="M33" i="24"/>
  <c r="M116" i="4"/>
  <c r="G130" i="28"/>
  <c r="F79" i="27"/>
  <c r="D130" i="28"/>
  <c r="C79" i="27"/>
  <c r="M36" i="24"/>
  <c r="M120" i="4" s="1"/>
  <c r="M35" i="24"/>
  <c r="M119" i="4" s="1"/>
  <c r="M118" i="4"/>
  <c r="L36" i="24"/>
  <c r="L120" i="4" s="1"/>
  <c r="L35" i="24"/>
  <c r="L119" i="4" s="1"/>
  <c r="L118" i="4"/>
  <c r="L33" i="24"/>
  <c r="L116" i="4"/>
  <c r="H33" i="24"/>
  <c r="H116" i="4"/>
  <c r="H36" i="24"/>
  <c r="H120" i="4" s="1"/>
  <c r="H35" i="24"/>
  <c r="H119" i="4" s="1"/>
  <c r="H118" i="4"/>
  <c r="K33" i="24"/>
  <c r="K116" i="4"/>
  <c r="I33" i="24"/>
  <c r="I116" i="4"/>
  <c r="K36" i="24"/>
  <c r="K120" i="4" s="1"/>
  <c r="K35" i="24"/>
  <c r="K119" i="4" s="1"/>
  <c r="K118" i="4"/>
  <c r="L175" i="4"/>
  <c r="M175" i="4"/>
  <c r="I175" i="4"/>
  <c r="K175" i="4"/>
  <c r="H175" i="4"/>
  <c r="M117" i="4" l="1"/>
  <c r="L14" i="22"/>
  <c r="M20" i="4" s="1"/>
  <c r="H117" i="4"/>
  <c r="G14" i="22"/>
  <c r="H20" i="4" s="1"/>
  <c r="I117" i="4"/>
  <c r="H14" i="22"/>
  <c r="I20" i="4" s="1"/>
  <c r="L117" i="4"/>
  <c r="K14" i="22"/>
  <c r="L20" i="4" s="1"/>
  <c r="K117" i="4"/>
  <c r="J14" i="22"/>
  <c r="K20" i="4" s="1"/>
  <c r="J130" i="28" l="1"/>
  <c r="I79" i="27"/>
  <c r="H130" i="28"/>
  <c r="G79" i="27"/>
  <c r="D79" i="27"/>
  <c r="E130" i="28"/>
  <c r="I130" i="28"/>
  <c r="H79" i="27"/>
  <c r="F130" i="28"/>
  <c r="E79" i="27"/>
  <c r="G9" i="3" l="1"/>
  <c r="H9" i="3"/>
  <c r="I9" i="3"/>
  <c r="J9" i="3"/>
  <c r="K9" i="3"/>
  <c r="L9" i="3"/>
  <c r="M9" i="3"/>
  <c r="G10" i="3"/>
  <c r="H10" i="3"/>
  <c r="I10" i="3"/>
  <c r="J10" i="3"/>
  <c r="K10" i="3"/>
  <c r="L10" i="3"/>
  <c r="M10" i="3"/>
  <c r="G11" i="3"/>
  <c r="H11" i="3"/>
  <c r="I11" i="3"/>
  <c r="J11" i="3"/>
  <c r="K11" i="3"/>
  <c r="L11" i="3"/>
  <c r="M11" i="3"/>
  <c r="G12" i="3"/>
  <c r="H12" i="3"/>
  <c r="I12" i="3"/>
  <c r="J12" i="3"/>
  <c r="K12" i="3"/>
  <c r="L12" i="3"/>
  <c r="M12" i="3"/>
  <c r="G13" i="3"/>
  <c r="H13" i="3"/>
  <c r="I13" i="3"/>
  <c r="J13" i="3"/>
  <c r="K13" i="3"/>
  <c r="L13" i="3"/>
  <c r="M13" i="3"/>
  <c r="G15" i="3"/>
  <c r="H15" i="3"/>
  <c r="I15" i="3"/>
  <c r="J15" i="3"/>
  <c r="K15" i="3"/>
  <c r="L15" i="3"/>
  <c r="M15" i="3"/>
  <c r="G16" i="3"/>
  <c r="H16" i="3"/>
  <c r="I16" i="3"/>
  <c r="J16" i="3"/>
  <c r="K16" i="3"/>
  <c r="L16" i="3"/>
  <c r="M16" i="3"/>
  <c r="G17" i="3"/>
  <c r="H17" i="3"/>
  <c r="I17" i="3"/>
  <c r="J17" i="3"/>
  <c r="K17" i="3"/>
  <c r="L17" i="3"/>
  <c r="M17" i="3"/>
  <c r="G18" i="3"/>
  <c r="H18" i="3"/>
  <c r="I18" i="3"/>
  <c r="J18" i="3"/>
  <c r="K18" i="3"/>
  <c r="L18" i="3"/>
  <c r="M18" i="3"/>
  <c r="G19" i="3"/>
  <c r="H19" i="3"/>
  <c r="I19" i="3"/>
  <c r="J19" i="3"/>
  <c r="K19" i="3"/>
  <c r="L19" i="3"/>
  <c r="M19" i="3"/>
  <c r="G21" i="3"/>
  <c r="H21" i="3"/>
  <c r="I21" i="3"/>
  <c r="J21" i="3"/>
  <c r="K21" i="3"/>
  <c r="L21" i="3"/>
  <c r="M21" i="3"/>
  <c r="G22" i="3"/>
  <c r="H22" i="3"/>
  <c r="I22" i="3"/>
  <c r="J22" i="3"/>
  <c r="K22" i="3"/>
  <c r="L22" i="3"/>
  <c r="M22" i="3"/>
  <c r="G23" i="3"/>
  <c r="H23" i="3"/>
  <c r="I23" i="3"/>
  <c r="J23" i="3"/>
  <c r="K23" i="3"/>
  <c r="L23" i="3"/>
  <c r="M23" i="3"/>
  <c r="G24" i="3"/>
  <c r="H24" i="3"/>
  <c r="I24" i="3"/>
  <c r="J24" i="3"/>
  <c r="K24" i="3"/>
  <c r="L24" i="3"/>
  <c r="M24" i="3"/>
  <c r="G25" i="3"/>
  <c r="H25" i="3"/>
  <c r="I25" i="3"/>
  <c r="J25" i="3"/>
  <c r="K25" i="3"/>
  <c r="L25" i="3"/>
  <c r="M25" i="3"/>
  <c r="G26" i="3"/>
  <c r="H26" i="3"/>
  <c r="I26" i="3"/>
  <c r="J26" i="3"/>
  <c r="K26" i="3"/>
  <c r="L26" i="3"/>
  <c r="M26" i="3"/>
  <c r="G30" i="3"/>
  <c r="H30" i="3"/>
  <c r="I30" i="3"/>
  <c r="J30" i="3"/>
  <c r="K30" i="3"/>
  <c r="L30" i="3"/>
  <c r="M30" i="3"/>
  <c r="G31" i="3"/>
  <c r="H31" i="3"/>
  <c r="I31" i="3"/>
  <c r="J31" i="3"/>
  <c r="K31" i="3"/>
  <c r="L31" i="3"/>
  <c r="M31" i="3"/>
  <c r="G35" i="3"/>
  <c r="H35" i="3"/>
  <c r="I35" i="3"/>
  <c r="J35" i="3"/>
  <c r="K35" i="3"/>
  <c r="L35" i="3"/>
  <c r="M35" i="3"/>
  <c r="G49" i="3"/>
  <c r="H49" i="3"/>
  <c r="I49" i="3"/>
  <c r="J49" i="3"/>
  <c r="K49" i="3"/>
  <c r="L49" i="3"/>
  <c r="M49" i="3"/>
  <c r="G53" i="3"/>
  <c r="H53" i="3"/>
  <c r="I53" i="3"/>
  <c r="J53" i="3"/>
  <c r="K53" i="3"/>
  <c r="L53" i="3"/>
  <c r="M53" i="3"/>
  <c r="G59" i="3"/>
  <c r="H59" i="3"/>
  <c r="I59" i="3"/>
  <c r="J59" i="3"/>
  <c r="K59" i="3"/>
  <c r="L59" i="3"/>
  <c r="M59" i="3"/>
  <c r="G67" i="3"/>
  <c r="H67" i="3"/>
  <c r="I67" i="3"/>
  <c r="J67" i="3"/>
  <c r="K67" i="3"/>
  <c r="L67" i="3"/>
  <c r="M67" i="3"/>
  <c r="G78" i="3"/>
  <c r="H78" i="3"/>
  <c r="I78" i="3"/>
  <c r="J78" i="3"/>
  <c r="K78" i="3"/>
  <c r="L78" i="3"/>
  <c r="M78" i="3"/>
  <c r="G80" i="3"/>
  <c r="H80" i="3"/>
  <c r="I80" i="3"/>
  <c r="J80" i="3"/>
  <c r="K80" i="3"/>
  <c r="L80" i="3"/>
  <c r="M80" i="3"/>
  <c r="G81" i="3"/>
  <c r="H81" i="3"/>
  <c r="I81" i="3"/>
  <c r="J81" i="3"/>
  <c r="K81" i="3"/>
  <c r="L81" i="3"/>
  <c r="M81" i="3"/>
  <c r="G82" i="3"/>
  <c r="H82" i="3"/>
  <c r="I82" i="3"/>
  <c r="J82" i="3"/>
  <c r="K82" i="3"/>
  <c r="L82" i="3"/>
  <c r="M82" i="3"/>
  <c r="G86" i="3"/>
  <c r="H86" i="3"/>
  <c r="I86" i="3"/>
  <c r="J86" i="3"/>
  <c r="K86" i="3"/>
  <c r="L86" i="3"/>
  <c r="M86" i="3"/>
  <c r="G87" i="3"/>
  <c r="H87" i="3"/>
  <c r="I87" i="3"/>
  <c r="J87" i="3"/>
  <c r="K87" i="3"/>
  <c r="L87" i="3"/>
  <c r="M87" i="3"/>
  <c r="G88" i="3"/>
  <c r="H88" i="3"/>
  <c r="I88" i="3"/>
  <c r="J88" i="3"/>
  <c r="K88" i="3"/>
  <c r="L88" i="3"/>
  <c r="M88" i="3"/>
  <c r="G90" i="3"/>
  <c r="H90" i="3"/>
  <c r="I90" i="3"/>
  <c r="J90" i="3"/>
  <c r="K90" i="3"/>
  <c r="L90" i="3"/>
  <c r="M90" i="3"/>
  <c r="G91" i="3"/>
  <c r="H91" i="3"/>
  <c r="I91" i="3"/>
  <c r="J91" i="3"/>
  <c r="K91" i="3"/>
  <c r="L91" i="3"/>
  <c r="M91" i="3"/>
  <c r="G92" i="3"/>
  <c r="H92" i="3"/>
  <c r="I92" i="3"/>
  <c r="J92" i="3"/>
  <c r="K92" i="3"/>
  <c r="L92" i="3"/>
  <c r="M92" i="3"/>
  <c r="G93" i="3"/>
  <c r="H93" i="3"/>
  <c r="I93" i="3"/>
  <c r="J93" i="3"/>
  <c r="K93" i="3"/>
  <c r="L93" i="3"/>
  <c r="M93" i="3"/>
  <c r="G94" i="3"/>
  <c r="H94" i="3"/>
  <c r="I94" i="3"/>
  <c r="J94" i="3"/>
  <c r="K94" i="3"/>
  <c r="L94" i="3"/>
  <c r="M94" i="3"/>
  <c r="G95" i="3"/>
  <c r="H95" i="3"/>
  <c r="I95" i="3"/>
  <c r="J95" i="3"/>
  <c r="K95" i="3"/>
  <c r="L95" i="3"/>
  <c r="M95" i="3"/>
  <c r="G96" i="3"/>
  <c r="H96" i="3"/>
  <c r="I96" i="3"/>
  <c r="J96" i="3"/>
  <c r="K96" i="3"/>
  <c r="L96" i="3"/>
  <c r="M96" i="3"/>
  <c r="G101" i="3"/>
  <c r="H101" i="3"/>
  <c r="I101" i="3"/>
  <c r="J101" i="3"/>
  <c r="K101" i="3"/>
  <c r="L101" i="3"/>
  <c r="M101" i="3"/>
  <c r="G102" i="3"/>
  <c r="H102" i="3"/>
  <c r="I102" i="3"/>
  <c r="J102" i="3"/>
  <c r="K102" i="3"/>
  <c r="L102" i="3"/>
  <c r="M102" i="3"/>
  <c r="G104" i="3"/>
  <c r="H104" i="3"/>
  <c r="I104" i="3"/>
  <c r="J104" i="3"/>
  <c r="K104" i="3"/>
  <c r="L104" i="3"/>
  <c r="M104" i="3"/>
  <c r="G105" i="3"/>
  <c r="H105" i="3"/>
  <c r="I105" i="3"/>
  <c r="J105" i="3"/>
  <c r="K105" i="3"/>
  <c r="L105" i="3"/>
  <c r="M105" i="3"/>
  <c r="G106" i="3"/>
  <c r="H106" i="3"/>
  <c r="I106" i="3"/>
  <c r="J106" i="3"/>
  <c r="K106" i="3"/>
  <c r="L106" i="3"/>
  <c r="M106" i="3"/>
  <c r="G107" i="3"/>
  <c r="H107" i="3"/>
  <c r="I107" i="3"/>
  <c r="J107" i="3"/>
  <c r="K107" i="3"/>
  <c r="L107" i="3"/>
  <c r="M107" i="3"/>
  <c r="G110" i="3"/>
  <c r="H110" i="3"/>
  <c r="I110" i="3"/>
  <c r="J110" i="3"/>
  <c r="K110" i="3"/>
  <c r="L110" i="3"/>
  <c r="M110" i="3"/>
  <c r="G111" i="3"/>
  <c r="H111" i="3"/>
  <c r="I111" i="3"/>
  <c r="J111" i="3"/>
  <c r="K111" i="3"/>
  <c r="L111" i="3"/>
  <c r="M111" i="3"/>
  <c r="G112" i="3"/>
  <c r="H112" i="3"/>
  <c r="I112" i="3"/>
  <c r="J112" i="3"/>
  <c r="K112" i="3"/>
  <c r="L112" i="3"/>
  <c r="M112" i="3"/>
  <c r="G114" i="3"/>
  <c r="H114" i="3"/>
  <c r="I114" i="3"/>
  <c r="J114" i="3"/>
  <c r="K114" i="3"/>
  <c r="L114" i="3"/>
  <c r="M114" i="3"/>
  <c r="G115" i="3"/>
  <c r="H115" i="3"/>
  <c r="I115" i="3"/>
  <c r="J115" i="3"/>
  <c r="K115" i="3"/>
  <c r="L115" i="3"/>
  <c r="M115" i="3"/>
  <c r="G116" i="3"/>
  <c r="H116" i="3"/>
  <c r="I116" i="3"/>
  <c r="J116" i="3"/>
  <c r="K116" i="3"/>
  <c r="L116" i="3"/>
  <c r="M116" i="3"/>
  <c r="G117" i="3"/>
  <c r="H117" i="3"/>
  <c r="I117" i="3"/>
  <c r="J117" i="3"/>
  <c r="K117" i="3"/>
  <c r="L117" i="3"/>
  <c r="M117" i="3"/>
  <c r="G118" i="3"/>
  <c r="H118" i="3"/>
  <c r="I118" i="3"/>
  <c r="J118" i="3"/>
  <c r="K118" i="3"/>
  <c r="L118" i="3"/>
  <c r="M118" i="3"/>
  <c r="G119" i="3"/>
  <c r="H119" i="3"/>
  <c r="I119" i="3"/>
  <c r="J119" i="3"/>
  <c r="K119" i="3"/>
  <c r="L119" i="3"/>
  <c r="M119" i="3"/>
  <c r="G120" i="3"/>
  <c r="H120" i="3"/>
  <c r="I120" i="3"/>
  <c r="J120" i="3"/>
  <c r="K120" i="3"/>
  <c r="L120" i="3"/>
  <c r="M120" i="3"/>
  <c r="G121" i="3"/>
  <c r="H121" i="3"/>
  <c r="I121" i="3"/>
  <c r="J121" i="3"/>
  <c r="K121" i="3"/>
  <c r="L121" i="3"/>
  <c r="M121" i="3"/>
  <c r="G122" i="3"/>
  <c r="H122" i="3"/>
  <c r="I122" i="3"/>
  <c r="J122" i="3"/>
  <c r="K122" i="3"/>
  <c r="L122" i="3"/>
  <c r="M122" i="3"/>
  <c r="G124" i="3"/>
  <c r="H124" i="3"/>
  <c r="I124" i="3"/>
  <c r="J124" i="3"/>
  <c r="K124" i="3"/>
  <c r="L124" i="3"/>
  <c r="M124" i="3"/>
  <c r="G125" i="3"/>
  <c r="H125" i="3"/>
  <c r="I125" i="3"/>
  <c r="J125" i="3"/>
  <c r="K125" i="3"/>
  <c r="L125" i="3"/>
  <c r="M125" i="3"/>
  <c r="G129" i="3"/>
  <c r="H129" i="3"/>
  <c r="I129" i="3"/>
  <c r="J129" i="3"/>
  <c r="K129" i="3"/>
  <c r="L129" i="3"/>
  <c r="M129" i="3"/>
  <c r="G130" i="3"/>
  <c r="H130" i="3"/>
  <c r="I130" i="3"/>
  <c r="J130" i="3"/>
  <c r="K130" i="3"/>
  <c r="L130" i="3"/>
  <c r="M130" i="3"/>
  <c r="G131" i="3"/>
  <c r="H131" i="3"/>
  <c r="I131" i="3"/>
  <c r="J131" i="3"/>
  <c r="K131" i="3"/>
  <c r="L131" i="3"/>
  <c r="M131" i="3"/>
  <c r="G134" i="3"/>
  <c r="H134" i="3"/>
  <c r="I134" i="3"/>
  <c r="J134" i="3"/>
  <c r="K134" i="3"/>
  <c r="L134" i="3"/>
  <c r="M134" i="3"/>
  <c r="G136" i="3"/>
  <c r="H136" i="3"/>
  <c r="I136" i="3"/>
  <c r="J136" i="3"/>
  <c r="K136" i="3"/>
  <c r="L136" i="3"/>
  <c r="M136" i="3"/>
  <c r="G137" i="3"/>
  <c r="H137" i="3"/>
  <c r="I137" i="3"/>
  <c r="J137" i="3"/>
  <c r="K137" i="3"/>
  <c r="L137" i="3"/>
  <c r="M137" i="3"/>
  <c r="G138" i="3"/>
  <c r="H138" i="3"/>
  <c r="I138" i="3"/>
  <c r="J138" i="3"/>
  <c r="K138" i="3"/>
  <c r="L138" i="3"/>
  <c r="M138" i="3"/>
  <c r="G140" i="3"/>
  <c r="H140" i="3"/>
  <c r="I140" i="3"/>
  <c r="J140" i="3"/>
  <c r="K140" i="3"/>
  <c r="L140" i="3"/>
  <c r="M140" i="3"/>
  <c r="G141" i="3"/>
  <c r="H141" i="3"/>
  <c r="I141" i="3"/>
  <c r="J141" i="3"/>
  <c r="K141" i="3"/>
  <c r="L141" i="3"/>
  <c r="M141" i="3"/>
  <c r="G142" i="3"/>
  <c r="H142" i="3"/>
  <c r="I142" i="3"/>
  <c r="J142" i="3"/>
  <c r="K142" i="3"/>
  <c r="L142" i="3"/>
  <c r="M142" i="3"/>
  <c r="G143" i="3"/>
  <c r="H143" i="3"/>
  <c r="I143" i="3"/>
  <c r="J143" i="3"/>
  <c r="K143" i="3"/>
  <c r="L143" i="3"/>
  <c r="M143" i="3"/>
  <c r="G144" i="3"/>
  <c r="H144" i="3"/>
  <c r="I144" i="3"/>
  <c r="J144" i="3"/>
  <c r="K144" i="3"/>
  <c r="L144" i="3"/>
  <c r="M144" i="3"/>
  <c r="G146" i="3"/>
  <c r="H146" i="3"/>
  <c r="I146" i="3"/>
  <c r="J146" i="3"/>
  <c r="K146" i="3"/>
  <c r="L146" i="3"/>
  <c r="M146" i="3"/>
  <c r="G147" i="3"/>
  <c r="H147" i="3"/>
  <c r="I147" i="3"/>
  <c r="J147" i="3"/>
  <c r="K147" i="3"/>
  <c r="L147" i="3"/>
  <c r="M147" i="3"/>
  <c r="G148" i="3"/>
  <c r="H148" i="3"/>
  <c r="I148" i="3"/>
  <c r="J148" i="3"/>
  <c r="K148" i="3"/>
  <c r="L148" i="3"/>
  <c r="M148" i="3"/>
  <c r="G151" i="3"/>
  <c r="H151" i="3"/>
  <c r="I151" i="3"/>
  <c r="J151" i="3"/>
  <c r="K151" i="3"/>
  <c r="L151" i="3"/>
  <c r="M151" i="3"/>
  <c r="G152" i="3"/>
  <c r="H152" i="3"/>
  <c r="I152" i="3"/>
  <c r="J152" i="3"/>
  <c r="K152" i="3"/>
  <c r="L152" i="3"/>
  <c r="M152" i="3"/>
  <c r="G153" i="3"/>
  <c r="H153" i="3"/>
  <c r="I153" i="3"/>
  <c r="J153" i="3"/>
  <c r="K153" i="3"/>
  <c r="L153" i="3"/>
  <c r="M153" i="3"/>
  <c r="G154" i="3" a="1"/>
  <c r="G154" i="3"/>
  <c r="H154" i="3"/>
  <c r="I154" i="3"/>
  <c r="J154" i="3"/>
  <c r="K154" i="3"/>
  <c r="L154" i="3"/>
  <c r="M154" i="3"/>
  <c r="G155" i="3"/>
  <c r="H155" i="3"/>
  <c r="I155" i="3"/>
  <c r="J155" i="3"/>
  <c r="K155" i="3"/>
  <c r="L155" i="3"/>
  <c r="M155" i="3"/>
  <c r="G157" i="3"/>
  <c r="H157" i="3"/>
  <c r="I157" i="3"/>
  <c r="J157" i="3"/>
  <c r="K157" i="3"/>
  <c r="L157" i="3"/>
  <c r="M157" i="3"/>
  <c r="G158" i="3"/>
  <c r="H158" i="3"/>
  <c r="I158" i="3"/>
  <c r="J158" i="3"/>
  <c r="K158" i="3"/>
  <c r="L158" i="3"/>
  <c r="M158" i="3"/>
  <c r="G159" i="3"/>
  <c r="H159" i="3"/>
  <c r="I159" i="3"/>
  <c r="J159" i="3"/>
  <c r="K159" i="3"/>
  <c r="L159" i="3"/>
  <c r="M159" i="3"/>
  <c r="G162" i="3"/>
  <c r="H162" i="3"/>
  <c r="I162" i="3"/>
  <c r="J162" i="3"/>
  <c r="K162" i="3"/>
  <c r="L162" i="3"/>
  <c r="M162" i="3"/>
  <c r="G164" i="3"/>
  <c r="H164" i="3"/>
  <c r="I164" i="3"/>
  <c r="J164" i="3"/>
  <c r="K164" i="3"/>
  <c r="L164" i="3"/>
  <c r="M164" i="3"/>
  <c r="G165" i="3"/>
  <c r="H165" i="3"/>
  <c r="I165" i="3"/>
  <c r="J165" i="3"/>
  <c r="K165" i="3"/>
  <c r="L165" i="3"/>
  <c r="M165" i="3"/>
  <c r="G166" i="3"/>
  <c r="H166" i="3"/>
  <c r="I166" i="3"/>
  <c r="J166" i="3"/>
  <c r="K166" i="3"/>
  <c r="L166" i="3"/>
  <c r="M166" i="3"/>
  <c r="G167" i="3"/>
  <c r="H167" i="3"/>
  <c r="I167" i="3"/>
  <c r="J167" i="3"/>
  <c r="K167" i="3"/>
  <c r="L167" i="3"/>
  <c r="M167" i="3"/>
  <c r="G169" i="3"/>
  <c r="H169" i="3"/>
  <c r="I169" i="3"/>
  <c r="J169" i="3"/>
  <c r="K169" i="3"/>
  <c r="L169" i="3"/>
  <c r="M169" i="3"/>
  <c r="G170" i="3"/>
  <c r="H170" i="3"/>
  <c r="I170" i="3"/>
  <c r="J170" i="3"/>
  <c r="K170" i="3"/>
  <c r="L170" i="3"/>
  <c r="M170" i="3"/>
  <c r="G171" i="3"/>
  <c r="H171" i="3"/>
  <c r="I171" i="3"/>
  <c r="J171" i="3"/>
  <c r="K171" i="3"/>
  <c r="L171" i="3"/>
  <c r="M171" i="3"/>
  <c r="G172" i="3"/>
  <c r="H172" i="3"/>
  <c r="I172" i="3"/>
  <c r="J172" i="3"/>
  <c r="K172" i="3"/>
  <c r="L172" i="3"/>
  <c r="M172" i="3"/>
  <c r="G173" i="3"/>
  <c r="H173" i="3"/>
  <c r="I173" i="3"/>
  <c r="J173" i="3"/>
  <c r="K173" i="3"/>
  <c r="L173" i="3"/>
  <c r="M173" i="3"/>
  <c r="G174" i="3"/>
  <c r="H174" i="3"/>
  <c r="I174" i="3"/>
  <c r="J174" i="3"/>
  <c r="K174" i="3"/>
  <c r="L174" i="3"/>
  <c r="M174" i="3"/>
  <c r="G175" i="3"/>
  <c r="H175" i="3"/>
  <c r="I175" i="3"/>
  <c r="J175" i="3"/>
  <c r="K175" i="3"/>
  <c r="L175" i="3"/>
  <c r="M175" i="3"/>
  <c r="G176" i="3"/>
  <c r="H176" i="3"/>
  <c r="I176" i="3"/>
  <c r="J176" i="3"/>
  <c r="K176" i="3"/>
  <c r="L176" i="3"/>
  <c r="M176" i="3"/>
  <c r="G178" i="3"/>
  <c r="H178" i="3"/>
  <c r="I178" i="3"/>
  <c r="J178" i="3"/>
  <c r="K178" i="3"/>
  <c r="L178" i="3"/>
  <c r="M178" i="3"/>
  <c r="G180" i="3"/>
  <c r="H180" i="3"/>
  <c r="I180" i="3"/>
  <c r="J180" i="3"/>
  <c r="K180" i="3"/>
  <c r="L180" i="3"/>
  <c r="M180" i="3"/>
  <c r="G181" i="3"/>
  <c r="H181" i="3"/>
  <c r="I181" i="3"/>
  <c r="J181" i="3"/>
  <c r="K181" i="3"/>
  <c r="L181" i="3"/>
  <c r="M181" i="3"/>
  <c r="G182" i="3"/>
  <c r="H182" i="3"/>
  <c r="I182" i="3"/>
  <c r="J182" i="3"/>
  <c r="K182" i="3"/>
  <c r="L182" i="3"/>
  <c r="M182" i="3"/>
  <c r="G184" i="3"/>
  <c r="H184" i="3"/>
  <c r="I184" i="3"/>
  <c r="J184" i="3"/>
  <c r="K184" i="3"/>
  <c r="L184" i="3"/>
  <c r="M184" i="3"/>
  <c r="G193" i="3"/>
  <c r="H193" i="3"/>
  <c r="I193" i="3"/>
  <c r="J193" i="3"/>
  <c r="K193" i="3"/>
  <c r="L193" i="3"/>
  <c r="M193" i="3"/>
  <c r="G196" i="3"/>
  <c r="H196" i="3"/>
  <c r="I196" i="3"/>
  <c r="J196" i="3"/>
  <c r="K196" i="3"/>
  <c r="L196" i="3"/>
  <c r="M196" i="3"/>
  <c r="G197" i="3"/>
  <c r="H197" i="3"/>
  <c r="I197" i="3"/>
  <c r="J197" i="3"/>
  <c r="K197" i="3"/>
  <c r="L197" i="3"/>
  <c r="M197" i="3"/>
  <c r="G199" i="3"/>
  <c r="H199" i="3"/>
  <c r="I199" i="3"/>
  <c r="J199" i="3"/>
  <c r="K199" i="3"/>
  <c r="L199" i="3"/>
  <c r="M199" i="3"/>
  <c r="G200" i="3"/>
  <c r="H200" i="3"/>
  <c r="I200" i="3"/>
  <c r="J200" i="3"/>
  <c r="K200" i="3"/>
  <c r="L200" i="3"/>
  <c r="M200" i="3"/>
  <c r="G202" i="3"/>
  <c r="H202" i="3"/>
  <c r="I202" i="3"/>
  <c r="J202" i="3"/>
  <c r="K202" i="3"/>
  <c r="L202" i="3"/>
  <c r="M202" i="3"/>
  <c r="G203" i="3"/>
  <c r="H203" i="3"/>
  <c r="I203" i="3"/>
  <c r="J203" i="3"/>
  <c r="K203" i="3"/>
  <c r="L203" i="3"/>
  <c r="M203" i="3"/>
  <c r="G209" i="3"/>
  <c r="H209" i="3"/>
  <c r="I209" i="3"/>
  <c r="J209" i="3"/>
  <c r="K209" i="3"/>
  <c r="L209" i="3"/>
  <c r="M209" i="3"/>
  <c r="G210" i="3"/>
  <c r="H210" i="3"/>
  <c r="I210" i="3"/>
  <c r="J210" i="3"/>
  <c r="K210" i="3"/>
  <c r="L210" i="3"/>
  <c r="M210" i="3"/>
  <c r="G211" i="3"/>
  <c r="H211" i="3"/>
  <c r="I211" i="3"/>
  <c r="J211" i="3"/>
  <c r="K211" i="3"/>
  <c r="L211" i="3"/>
  <c r="M211" i="3"/>
  <c r="G212" i="3"/>
  <c r="H212" i="3"/>
  <c r="I212" i="3"/>
  <c r="J212" i="3"/>
  <c r="K212" i="3"/>
  <c r="L212" i="3"/>
  <c r="M212" i="3"/>
  <c r="G213" i="3"/>
  <c r="H213" i="3"/>
  <c r="I213" i="3"/>
  <c r="J213" i="3"/>
  <c r="K213" i="3"/>
  <c r="L213" i="3"/>
  <c r="M213" i="3"/>
  <c r="G214" i="3"/>
  <c r="H214" i="3"/>
  <c r="I214" i="3"/>
  <c r="J214" i="3"/>
  <c r="K214" i="3"/>
  <c r="L214" i="3"/>
  <c r="M214" i="3"/>
  <c r="G215" i="3"/>
  <c r="H215" i="3"/>
  <c r="I215" i="3"/>
  <c r="J215" i="3"/>
  <c r="K215" i="3"/>
  <c r="L215" i="3"/>
  <c r="M215" i="3"/>
  <c r="G216" i="3"/>
  <c r="H216" i="3"/>
  <c r="I216" i="3"/>
  <c r="J216" i="3"/>
  <c r="K216" i="3"/>
  <c r="L216" i="3"/>
  <c r="M216" i="3"/>
  <c r="G217" i="3"/>
  <c r="H217" i="3"/>
  <c r="I217" i="3"/>
  <c r="J217" i="3"/>
  <c r="K217" i="3"/>
  <c r="L217" i="3"/>
  <c r="M217" i="3"/>
  <c r="G218" i="3"/>
  <c r="H218" i="3"/>
  <c r="I218" i="3"/>
  <c r="J218" i="3"/>
  <c r="K218" i="3"/>
  <c r="L218" i="3"/>
  <c r="M218" i="3"/>
  <c r="G219" i="3"/>
  <c r="H219" i="3"/>
  <c r="I219" i="3"/>
  <c r="J219" i="3"/>
  <c r="K219" i="3"/>
  <c r="L219" i="3"/>
  <c r="M219" i="3"/>
  <c r="G220" i="3"/>
  <c r="H220" i="3"/>
  <c r="I220" i="3"/>
  <c r="J220" i="3"/>
  <c r="K220" i="3"/>
  <c r="L220" i="3"/>
  <c r="M220" i="3"/>
  <c r="G221" i="3"/>
  <c r="H221" i="3"/>
  <c r="I221" i="3"/>
  <c r="J221" i="3"/>
  <c r="K221" i="3"/>
  <c r="L221" i="3"/>
  <c r="M221" i="3"/>
  <c r="G222" i="3"/>
  <c r="H222" i="3"/>
  <c r="I222" i="3"/>
  <c r="J222" i="3"/>
  <c r="K222" i="3"/>
  <c r="L222" i="3"/>
  <c r="M222" i="3"/>
  <c r="G223" i="3"/>
  <c r="H223" i="3"/>
  <c r="I223" i="3"/>
  <c r="J223" i="3"/>
  <c r="K223" i="3"/>
  <c r="L223" i="3"/>
  <c r="M223" i="3"/>
  <c r="G224" i="3"/>
  <c r="H224" i="3"/>
  <c r="I224" i="3"/>
  <c r="J224" i="3"/>
  <c r="K224" i="3"/>
  <c r="L224" i="3"/>
  <c r="M224" i="3"/>
  <c r="G225" i="3"/>
  <c r="H225" i="3"/>
  <c r="I225" i="3"/>
  <c r="J225" i="3"/>
  <c r="K225" i="3"/>
  <c r="L225" i="3"/>
  <c r="M225" i="3"/>
  <c r="G226" i="3"/>
  <c r="H226" i="3"/>
  <c r="I226" i="3"/>
  <c r="J226" i="3"/>
  <c r="K226" i="3"/>
  <c r="L226" i="3"/>
  <c r="M226" i="3"/>
  <c r="C12" i="29"/>
  <c r="D12" i="29"/>
  <c r="E12" i="29"/>
  <c r="F12" i="29"/>
  <c r="G12" i="29"/>
  <c r="H12" i="29"/>
  <c r="I12" i="29"/>
  <c r="C13" i="29"/>
  <c r="D13" i="29"/>
  <c r="E13" i="29"/>
  <c r="F13" i="29"/>
  <c r="G13" i="29"/>
  <c r="H13" i="29"/>
  <c r="I13" i="29"/>
  <c r="G5" i="21"/>
  <c r="H5" i="21"/>
  <c r="I5" i="21"/>
  <c r="J5" i="21"/>
  <c r="K5" i="21"/>
  <c r="L5" i="21"/>
  <c r="M5" i="21"/>
  <c r="G10" i="21"/>
  <c r="H10" i="21"/>
  <c r="I10" i="21"/>
  <c r="J10" i="21"/>
  <c r="K10" i="21"/>
  <c r="L10" i="21"/>
  <c r="M10" i="21"/>
  <c r="G11" i="21"/>
  <c r="H11" i="21"/>
  <c r="I11" i="21"/>
  <c r="J11" i="21"/>
  <c r="K11" i="21"/>
  <c r="L11" i="21"/>
  <c r="M11" i="21"/>
  <c r="G13" i="21"/>
  <c r="H13" i="21"/>
  <c r="I13" i="21"/>
  <c r="J13" i="21"/>
  <c r="K13" i="21"/>
  <c r="L13" i="21"/>
  <c r="M13" i="21"/>
  <c r="G16" i="21"/>
  <c r="H16" i="21"/>
  <c r="I16" i="21"/>
  <c r="J16" i="21"/>
  <c r="K16" i="21"/>
  <c r="L16" i="21"/>
  <c r="M16" i="21"/>
  <c r="G17" i="21"/>
  <c r="H17" i="21"/>
  <c r="I17" i="21"/>
  <c r="J17" i="21"/>
  <c r="K17" i="21"/>
  <c r="L17" i="21"/>
  <c r="M17" i="21"/>
  <c r="G18" i="21"/>
  <c r="H18" i="21"/>
  <c r="I18" i="21"/>
  <c r="J18" i="21"/>
  <c r="K18" i="21"/>
  <c r="L18" i="21"/>
  <c r="M18" i="21"/>
  <c r="G19" i="21"/>
  <c r="H19" i="21"/>
  <c r="I19" i="21"/>
  <c r="J19" i="21"/>
  <c r="K19" i="21"/>
  <c r="L19" i="21"/>
  <c r="M19" i="21"/>
  <c r="G21" i="21"/>
  <c r="H21" i="21"/>
  <c r="I21" i="21"/>
  <c r="J21" i="21"/>
  <c r="K21" i="21"/>
  <c r="L21" i="21"/>
  <c r="M21" i="21"/>
  <c r="G22" i="21"/>
  <c r="H22" i="21"/>
  <c r="I22" i="21"/>
  <c r="J22" i="21"/>
  <c r="K22" i="21"/>
  <c r="L22" i="21"/>
  <c r="M22" i="21"/>
  <c r="G23" i="21"/>
  <c r="H23" i="21"/>
  <c r="I23" i="21"/>
  <c r="J23" i="21"/>
  <c r="K23" i="21"/>
  <c r="L23" i="21"/>
  <c r="M23" i="21"/>
  <c r="G24" i="21"/>
  <c r="H24" i="21"/>
  <c r="I24" i="21"/>
  <c r="J24" i="21"/>
  <c r="K24" i="21"/>
  <c r="L24" i="21"/>
  <c r="M24" i="21"/>
  <c r="G25" i="21"/>
  <c r="H25" i="21"/>
  <c r="I25" i="21"/>
  <c r="J25" i="21"/>
  <c r="K25" i="21"/>
  <c r="L25" i="21"/>
  <c r="M25" i="21"/>
  <c r="G26" i="21"/>
  <c r="H26" i="21"/>
  <c r="I26" i="21"/>
  <c r="J26" i="21"/>
  <c r="K26" i="21"/>
  <c r="L26" i="21"/>
  <c r="M26" i="21"/>
  <c r="G27" i="21"/>
  <c r="H27" i="21"/>
  <c r="I27" i="21"/>
  <c r="J27" i="21"/>
  <c r="K27" i="21"/>
  <c r="L27" i="21"/>
  <c r="M27" i="21"/>
  <c r="G28" i="21"/>
  <c r="H28" i="21"/>
  <c r="I28" i="21"/>
  <c r="J28" i="21"/>
  <c r="K28" i="21"/>
  <c r="L28" i="21"/>
  <c r="M28" i="21"/>
  <c r="G29" i="21"/>
  <c r="H29" i="21"/>
  <c r="I29" i="21"/>
  <c r="J29" i="21"/>
  <c r="K29" i="21"/>
  <c r="L29" i="21"/>
  <c r="M29" i="21"/>
  <c r="G30" i="21"/>
  <c r="H30" i="21"/>
  <c r="I30" i="21"/>
  <c r="J30" i="21"/>
  <c r="K30" i="21"/>
  <c r="L30" i="21"/>
  <c r="M30" i="21"/>
  <c r="G31" i="21"/>
  <c r="H31" i="21"/>
  <c r="I31" i="21"/>
  <c r="J31" i="21"/>
  <c r="K31" i="21"/>
  <c r="L31" i="21"/>
  <c r="M31" i="21"/>
  <c r="G33" i="21"/>
  <c r="H33" i="21"/>
  <c r="I33" i="21"/>
  <c r="J33" i="21"/>
  <c r="K33" i="21"/>
  <c r="L33" i="21"/>
  <c r="M33" i="21"/>
  <c r="G35" i="21"/>
  <c r="H35" i="21"/>
  <c r="I35" i="21"/>
  <c r="J35" i="21"/>
  <c r="K35" i="21"/>
  <c r="L35" i="21"/>
  <c r="M35" i="21"/>
  <c r="G36" i="21"/>
  <c r="H36" i="21"/>
  <c r="I36" i="21"/>
  <c r="J36" i="21"/>
  <c r="K36" i="21"/>
  <c r="L36" i="21"/>
  <c r="M36" i="21"/>
  <c r="G40" i="21"/>
  <c r="H40" i="21"/>
  <c r="I40" i="21"/>
  <c r="J40" i="21"/>
  <c r="K40" i="21"/>
  <c r="L40" i="21"/>
  <c r="M40" i="21"/>
  <c r="G41" i="21"/>
  <c r="H41" i="21"/>
  <c r="I41" i="21"/>
  <c r="J41" i="21"/>
  <c r="K41" i="21"/>
  <c r="L41" i="21"/>
  <c r="M41" i="21"/>
  <c r="G42" i="21"/>
  <c r="H42" i="21"/>
  <c r="I42" i="21"/>
  <c r="J42" i="21"/>
  <c r="K42" i="21"/>
  <c r="L42" i="21"/>
  <c r="M42" i="21"/>
  <c r="G44" i="21"/>
  <c r="H44" i="21"/>
  <c r="I44" i="21"/>
  <c r="J44" i="21"/>
  <c r="K44" i="21"/>
  <c r="L44" i="21"/>
  <c r="M44" i="21"/>
  <c r="G45" i="21"/>
  <c r="H45" i="21"/>
  <c r="I45" i="21"/>
  <c r="J45" i="21"/>
  <c r="K45" i="21"/>
  <c r="L45" i="21"/>
  <c r="M45" i="21"/>
  <c r="G46" i="21"/>
  <c r="H46" i="21"/>
  <c r="I46" i="21"/>
  <c r="J46" i="21"/>
  <c r="K46" i="21"/>
  <c r="L46" i="21"/>
  <c r="M46" i="21"/>
  <c r="G49" i="21"/>
  <c r="H49" i="21"/>
  <c r="I49" i="21"/>
  <c r="J49" i="21"/>
  <c r="K49" i="21"/>
  <c r="L49" i="21"/>
  <c r="M49" i="21"/>
  <c r="G50" i="21"/>
  <c r="H50" i="21"/>
  <c r="I50" i="21"/>
  <c r="J50" i="21"/>
  <c r="K50" i="21"/>
  <c r="L50" i="21"/>
  <c r="M50" i="21"/>
  <c r="G51" i="21"/>
  <c r="H51" i="21"/>
  <c r="I51" i="21"/>
  <c r="J51" i="21"/>
  <c r="K51" i="21"/>
  <c r="L51" i="21"/>
  <c r="M51" i="21"/>
  <c r="G53" i="21"/>
  <c r="H53" i="21"/>
  <c r="I53" i="21"/>
  <c r="J53" i="21"/>
  <c r="K53" i="21"/>
  <c r="L53" i="21"/>
  <c r="M53" i="21"/>
  <c r="G54" i="21"/>
  <c r="H54" i="21"/>
  <c r="I54" i="21"/>
  <c r="J54" i="21"/>
  <c r="K54" i="21"/>
  <c r="L54" i="21"/>
  <c r="M54" i="21"/>
  <c r="G58" i="21"/>
  <c r="H58" i="21"/>
  <c r="I58" i="21"/>
  <c r="J58" i="21"/>
  <c r="K58" i="21"/>
  <c r="L58" i="21"/>
  <c r="M58" i="21"/>
  <c r="G59" i="21"/>
  <c r="H59" i="21"/>
  <c r="I59" i="21"/>
  <c r="J59" i="21"/>
  <c r="K59" i="21"/>
  <c r="L59" i="21"/>
  <c r="M59" i="21"/>
  <c r="G60" i="21"/>
  <c r="H60" i="21"/>
  <c r="I60" i="21"/>
  <c r="J60" i="21"/>
  <c r="K60" i="21"/>
  <c r="L60" i="21"/>
  <c r="M60" i="21"/>
  <c r="G65" i="21"/>
  <c r="H65" i="21"/>
  <c r="I65" i="21"/>
  <c r="J65" i="21"/>
  <c r="K65" i="21"/>
  <c r="L65" i="21"/>
  <c r="M65" i="21"/>
  <c r="G66" i="21"/>
  <c r="H66" i="21"/>
  <c r="I66" i="21"/>
  <c r="J66" i="21"/>
  <c r="K66" i="21"/>
  <c r="L66" i="21"/>
  <c r="M66" i="21"/>
  <c r="G70" i="21"/>
  <c r="H70" i="21"/>
  <c r="I70" i="21"/>
  <c r="J70" i="21"/>
  <c r="K70" i="21"/>
  <c r="L70" i="21"/>
  <c r="M70" i="21"/>
  <c r="G71" i="21"/>
  <c r="H71" i="21"/>
  <c r="I71" i="21"/>
  <c r="J71" i="21"/>
  <c r="K71" i="21"/>
  <c r="L71" i="21"/>
  <c r="M71" i="21"/>
  <c r="G72" i="21"/>
  <c r="H72" i="21"/>
  <c r="I72" i="21"/>
  <c r="J72" i="21"/>
  <c r="K72" i="21"/>
  <c r="L72" i="21"/>
  <c r="M72" i="21"/>
  <c r="G74" i="21"/>
  <c r="H74" i="21"/>
  <c r="I74" i="21"/>
  <c r="J74" i="21"/>
  <c r="K74" i="21"/>
  <c r="L74" i="21"/>
  <c r="M74" i="21"/>
  <c r="G75" i="21"/>
  <c r="H75" i="21"/>
  <c r="I75" i="21"/>
  <c r="J75" i="21"/>
  <c r="K75" i="21"/>
  <c r="L75" i="21"/>
  <c r="M75" i="21"/>
  <c r="G76" i="21"/>
  <c r="H76" i="21"/>
  <c r="I76" i="21"/>
  <c r="J76" i="21"/>
  <c r="K76" i="21"/>
  <c r="L76" i="21"/>
  <c r="M76" i="21"/>
  <c r="G79" i="21"/>
  <c r="H79" i="21"/>
  <c r="I79" i="21"/>
  <c r="J79" i="21"/>
  <c r="K79" i="21"/>
  <c r="L79" i="21"/>
  <c r="M79" i="21"/>
  <c r="G80" i="21"/>
  <c r="H80" i="21"/>
  <c r="I80" i="21"/>
  <c r="J80" i="21"/>
  <c r="K80" i="21"/>
  <c r="L80" i="21"/>
  <c r="M80" i="21"/>
  <c r="G81" i="21"/>
  <c r="H81" i="21"/>
  <c r="I81" i="21"/>
  <c r="J81" i="21"/>
  <c r="K81" i="21"/>
  <c r="L81" i="21"/>
  <c r="M81" i="21"/>
  <c r="G83" i="21"/>
  <c r="H83" i="21"/>
  <c r="I83" i="21"/>
  <c r="J83" i="21"/>
  <c r="K83" i="21"/>
  <c r="L83" i="21"/>
  <c r="M83" i="21"/>
  <c r="G84" i="21"/>
  <c r="H84" i="21"/>
  <c r="I84" i="21"/>
  <c r="J84" i="21"/>
  <c r="K84" i="21"/>
  <c r="L84" i="21"/>
  <c r="M84" i="21"/>
  <c r="G88" i="21"/>
  <c r="H88" i="21"/>
  <c r="I88" i="21"/>
  <c r="J88" i="21"/>
  <c r="K88" i="21"/>
  <c r="L88" i="21"/>
  <c r="M88" i="21"/>
  <c r="G89" i="21"/>
  <c r="H89" i="21"/>
  <c r="I89" i="21"/>
  <c r="J89" i="21"/>
  <c r="K89" i="21"/>
  <c r="L89" i="21"/>
  <c r="M89" i="21"/>
  <c r="G90" i="21"/>
  <c r="H90" i="21"/>
  <c r="I90" i="21"/>
  <c r="J90" i="21"/>
  <c r="K90" i="21"/>
  <c r="L90" i="21"/>
  <c r="M90" i="21"/>
  <c r="G92" i="21"/>
  <c r="H92" i="21"/>
  <c r="I92" i="21"/>
  <c r="J92" i="21"/>
  <c r="K92" i="21"/>
  <c r="L92" i="21"/>
  <c r="M92" i="21"/>
  <c r="G93" i="21"/>
  <c r="H93" i="21"/>
  <c r="I93" i="21"/>
  <c r="J93" i="21"/>
  <c r="K93" i="21"/>
  <c r="L93" i="21"/>
  <c r="M93" i="21"/>
  <c r="G94" i="21"/>
  <c r="H94" i="21"/>
  <c r="I94" i="21"/>
  <c r="J94" i="21"/>
  <c r="K94" i="21"/>
  <c r="L94" i="21"/>
  <c r="M94" i="21"/>
  <c r="G95" i="21"/>
  <c r="H95" i="21"/>
  <c r="I95" i="21"/>
  <c r="J95" i="21"/>
  <c r="K95" i="21"/>
  <c r="L95" i="21"/>
  <c r="M95" i="21"/>
  <c r="G96" i="21"/>
  <c r="H96" i="21"/>
  <c r="I96" i="21"/>
  <c r="J96" i="21"/>
  <c r="K96" i="21"/>
  <c r="L96" i="21"/>
  <c r="M96" i="21"/>
  <c r="G98" i="21"/>
  <c r="H98" i="21"/>
  <c r="I98" i="21"/>
  <c r="J98" i="21"/>
  <c r="K98" i="21"/>
  <c r="L98" i="21"/>
  <c r="M98" i="21"/>
  <c r="G99" i="21"/>
  <c r="H99" i="21"/>
  <c r="I99" i="21"/>
  <c r="J99" i="21"/>
  <c r="K99" i="21"/>
  <c r="L99" i="21"/>
  <c r="M99" i="21"/>
  <c r="G101" i="21"/>
  <c r="H101" i="21"/>
  <c r="I101" i="21"/>
  <c r="J101" i="21"/>
  <c r="K101" i="21"/>
  <c r="L101" i="21"/>
  <c r="M101" i="21"/>
  <c r="G102" i="21"/>
  <c r="H102" i="21"/>
  <c r="I102" i="21"/>
  <c r="J102" i="21"/>
  <c r="K102" i="21"/>
  <c r="L102" i="21"/>
  <c r="M102" i="21"/>
  <c r="G103" i="21"/>
  <c r="H103" i="21"/>
  <c r="I103" i="21"/>
  <c r="J103" i="21"/>
  <c r="K103" i="21"/>
  <c r="L103" i="21"/>
  <c r="M103" i="21"/>
  <c r="G106" i="21"/>
  <c r="H106" i="21"/>
  <c r="I106" i="21"/>
  <c r="J106" i="21"/>
  <c r="K106" i="21"/>
  <c r="L106" i="21"/>
  <c r="M106" i="21"/>
  <c r="G107" i="21"/>
  <c r="H107" i="21"/>
  <c r="I107" i="21"/>
  <c r="J107" i="21"/>
  <c r="K107" i="21"/>
  <c r="L107" i="21"/>
  <c r="M107" i="21"/>
  <c r="G108" i="21"/>
  <c r="H108" i="21"/>
  <c r="I108" i="21"/>
  <c r="J108" i="21"/>
  <c r="K108" i="21"/>
  <c r="L108" i="21"/>
  <c r="M108" i="21"/>
  <c r="G109" i="21"/>
  <c r="H109" i="21"/>
  <c r="I109" i="21"/>
  <c r="J109" i="21"/>
  <c r="K109" i="21"/>
  <c r="L109" i="21"/>
  <c r="M109" i="21"/>
  <c r="G111" i="21"/>
  <c r="H111" i="21"/>
  <c r="I111" i="21"/>
  <c r="J111" i="21"/>
  <c r="K111" i="21"/>
  <c r="L111" i="21"/>
  <c r="M111" i="21"/>
  <c r="G112" i="21"/>
  <c r="H112" i="21"/>
  <c r="I112" i="21"/>
  <c r="J112" i="21"/>
  <c r="K112" i="21"/>
  <c r="L112" i="21"/>
  <c r="M112" i="21"/>
  <c r="D60" i="28"/>
  <c r="E60" i="28"/>
  <c r="F60" i="28"/>
  <c r="G60" i="28"/>
  <c r="H60" i="28"/>
  <c r="I60" i="28"/>
  <c r="J60" i="28"/>
  <c r="D61" i="28"/>
  <c r="E61" i="28"/>
  <c r="F61" i="28"/>
  <c r="G61" i="28"/>
  <c r="H61" i="28"/>
  <c r="I61" i="28"/>
  <c r="J61" i="28"/>
  <c r="D62" i="28"/>
  <c r="E62" i="28"/>
  <c r="F62" i="28"/>
  <c r="G62" i="28"/>
  <c r="H62" i="28"/>
  <c r="I62" i="28"/>
  <c r="J62" i="28"/>
  <c r="D63" i="28"/>
  <c r="E63" i="28"/>
  <c r="F63" i="28"/>
  <c r="G63" i="28"/>
  <c r="H63" i="28"/>
  <c r="I63" i="28"/>
  <c r="J63" i="28"/>
  <c r="D64" i="28"/>
  <c r="E64" i="28"/>
  <c r="F64" i="28"/>
  <c r="G64" i="28"/>
  <c r="H64" i="28"/>
  <c r="I64" i="28"/>
  <c r="J64" i="28"/>
  <c r="J76" i="28"/>
  <c r="D78" i="28"/>
  <c r="E78" i="28"/>
  <c r="F78" i="28"/>
  <c r="G78" i="28"/>
  <c r="H78" i="28"/>
  <c r="I78" i="28"/>
  <c r="J78" i="28"/>
  <c r="D79" i="28"/>
  <c r="E79" i="28"/>
  <c r="F79" i="28"/>
  <c r="G79" i="28"/>
  <c r="H79" i="28"/>
  <c r="I79" i="28"/>
  <c r="J79" i="28"/>
  <c r="D80" i="28"/>
  <c r="E80" i="28"/>
  <c r="F80" i="28"/>
  <c r="G80" i="28"/>
  <c r="H80" i="28"/>
  <c r="I80" i="28"/>
  <c r="J80" i="28"/>
  <c r="D127" i="28"/>
  <c r="E127" i="28"/>
  <c r="F127" i="28"/>
  <c r="G127" i="28"/>
  <c r="H127" i="28"/>
  <c r="I127" i="28"/>
  <c r="J127" i="28"/>
  <c r="D129" i="28"/>
  <c r="E129" i="28"/>
  <c r="F129" i="28"/>
  <c r="G129" i="28"/>
  <c r="H129" i="28"/>
  <c r="I129" i="28"/>
  <c r="J129" i="28"/>
  <c r="D131" i="28"/>
  <c r="E131" i="28"/>
  <c r="F131" i="28"/>
  <c r="G131" i="28"/>
  <c r="H131" i="28"/>
  <c r="I131" i="28"/>
  <c r="J131" i="28"/>
  <c r="D132" i="28"/>
  <c r="E132" i="28"/>
  <c r="F132" i="28"/>
  <c r="G132" i="28"/>
  <c r="H132" i="28"/>
  <c r="I132" i="28"/>
  <c r="J132" i="28"/>
  <c r="D133" i="28"/>
  <c r="E133" i="28"/>
  <c r="F133" i="28"/>
  <c r="G133" i="28"/>
  <c r="H133" i="28"/>
  <c r="I133" i="28"/>
  <c r="J133" i="28"/>
  <c r="D134" i="28"/>
  <c r="E134" i="28"/>
  <c r="F134" i="28"/>
  <c r="G134" i="28"/>
  <c r="H134" i="28"/>
  <c r="I134" i="28"/>
  <c r="J134" i="28"/>
  <c r="D135" i="28"/>
  <c r="E135" i="28"/>
  <c r="F135" i="28"/>
  <c r="G135" i="28"/>
  <c r="H135" i="28"/>
  <c r="I135" i="28"/>
  <c r="J135" i="28"/>
  <c r="D136" i="28"/>
  <c r="E136" i="28"/>
  <c r="F136" i="28"/>
  <c r="G136" i="28"/>
  <c r="H136" i="28"/>
  <c r="I136" i="28"/>
  <c r="J136" i="28"/>
  <c r="D139" i="28"/>
  <c r="E139" i="28"/>
  <c r="F139" i="28"/>
  <c r="G139" i="28"/>
  <c r="H139" i="28"/>
  <c r="I139" i="28"/>
  <c r="J139" i="28"/>
  <c r="D140" i="28"/>
  <c r="E140" i="28"/>
  <c r="F140" i="28"/>
  <c r="G140" i="28"/>
  <c r="H140" i="28"/>
  <c r="I140" i="28"/>
  <c r="J140" i="28"/>
  <c r="D141" i="28"/>
  <c r="E141" i="28"/>
  <c r="F141" i="28"/>
  <c r="G141" i="28"/>
  <c r="H141" i="28"/>
  <c r="I141" i="28"/>
  <c r="J141" i="28"/>
  <c r="D142" i="28"/>
  <c r="E142" i="28"/>
  <c r="F142" i="28"/>
  <c r="G142" i="28"/>
  <c r="H142" i="28"/>
  <c r="I142" i="28"/>
  <c r="J142" i="28"/>
  <c r="D143" i="28"/>
  <c r="E143" i="28"/>
  <c r="F143" i="28"/>
  <c r="G143" i="28"/>
  <c r="H143" i="28"/>
  <c r="I143" i="28"/>
  <c r="J143" i="28"/>
  <c r="D146" i="28"/>
  <c r="E146" i="28"/>
  <c r="F146" i="28"/>
  <c r="G146" i="28"/>
  <c r="H146" i="28"/>
  <c r="I146" i="28"/>
  <c r="J146" i="28"/>
  <c r="G4" i="24"/>
  <c r="H4" i="24"/>
  <c r="I4" i="24"/>
  <c r="J4" i="24"/>
  <c r="K4" i="24"/>
  <c r="L4" i="24"/>
  <c r="M4" i="24"/>
  <c r="G5" i="24"/>
  <c r="H5" i="24"/>
  <c r="I5" i="24"/>
  <c r="J5" i="24"/>
  <c r="K5" i="24"/>
  <c r="L5" i="24"/>
  <c r="M5" i="24"/>
  <c r="G11" i="24"/>
  <c r="H11" i="24"/>
  <c r="I11" i="24"/>
  <c r="J11" i="24"/>
  <c r="K11" i="24"/>
  <c r="L11" i="24"/>
  <c r="M11" i="24"/>
  <c r="G13" i="24"/>
  <c r="H13" i="24"/>
  <c r="I13" i="24"/>
  <c r="J13" i="24"/>
  <c r="K13" i="24"/>
  <c r="L13" i="24"/>
  <c r="M13" i="24"/>
  <c r="G15" i="24"/>
  <c r="H15" i="24"/>
  <c r="I15" i="24"/>
  <c r="J15" i="24"/>
  <c r="K15" i="24"/>
  <c r="L15" i="24"/>
  <c r="M15" i="24"/>
  <c r="G16" i="24"/>
  <c r="H16" i="24"/>
  <c r="I16" i="24"/>
  <c r="J16" i="24"/>
  <c r="K16" i="24"/>
  <c r="L16" i="24"/>
  <c r="M16" i="24"/>
  <c r="G17" i="24"/>
  <c r="H17" i="24"/>
  <c r="I17" i="24"/>
  <c r="J17" i="24"/>
  <c r="K17" i="24"/>
  <c r="L17" i="24"/>
  <c r="M17" i="24"/>
  <c r="G18" i="24"/>
  <c r="H18" i="24"/>
  <c r="I18" i="24"/>
  <c r="J18" i="24"/>
  <c r="K18" i="24"/>
  <c r="L18" i="24"/>
  <c r="M18" i="24"/>
  <c r="G20" i="24"/>
  <c r="H20" i="24"/>
  <c r="I20" i="24"/>
  <c r="J20" i="24"/>
  <c r="K20" i="24"/>
  <c r="L20" i="24"/>
  <c r="M20" i="24"/>
  <c r="G22" i="24"/>
  <c r="H22" i="24"/>
  <c r="I22" i="24"/>
  <c r="J22" i="24"/>
  <c r="K22" i="24"/>
  <c r="L22" i="24"/>
  <c r="M22" i="24"/>
  <c r="G23" i="24"/>
  <c r="H23" i="24"/>
  <c r="I23" i="24"/>
  <c r="J23" i="24"/>
  <c r="K23" i="24"/>
  <c r="L23" i="24"/>
  <c r="M23" i="24"/>
  <c r="G38" i="24"/>
  <c r="H38" i="24"/>
  <c r="I38" i="24"/>
  <c r="J38" i="24"/>
  <c r="K38" i="24"/>
  <c r="L38" i="24"/>
  <c r="M38" i="24"/>
  <c r="G39" i="24"/>
  <c r="H39" i="24"/>
  <c r="I39" i="24"/>
  <c r="J39" i="24"/>
  <c r="K39" i="24"/>
  <c r="L39" i="24"/>
  <c r="M39" i="24"/>
  <c r="G40" i="24"/>
  <c r="H40" i="24"/>
  <c r="I40" i="24"/>
  <c r="J40" i="24"/>
  <c r="K40" i="24"/>
  <c r="L40" i="24"/>
  <c r="M40" i="24"/>
  <c r="G41" i="24"/>
  <c r="H41" i="24"/>
  <c r="I41" i="24"/>
  <c r="J41" i="24"/>
  <c r="K41" i="24"/>
  <c r="L41" i="24"/>
  <c r="M41" i="24"/>
  <c r="G42" i="24"/>
  <c r="H42" i="24"/>
  <c r="I42" i="24"/>
  <c r="J42" i="24"/>
  <c r="K42" i="24"/>
  <c r="L42" i="24"/>
  <c r="M42" i="24"/>
  <c r="G46" i="24"/>
  <c r="H46" i="24"/>
  <c r="I46" i="24"/>
  <c r="J46" i="24"/>
  <c r="K46" i="24"/>
  <c r="L46" i="24"/>
  <c r="M46" i="24"/>
  <c r="G47" i="24"/>
  <c r="H47" i="24"/>
  <c r="I47" i="24"/>
  <c r="J47" i="24"/>
  <c r="K47" i="24"/>
  <c r="L47" i="24"/>
  <c r="M47" i="24"/>
  <c r="G48" i="24"/>
  <c r="H48" i="24"/>
  <c r="I48" i="24"/>
  <c r="J48" i="24"/>
  <c r="K48" i="24"/>
  <c r="L48" i="24"/>
  <c r="M48" i="24"/>
  <c r="G50" i="24"/>
  <c r="H50" i="24"/>
  <c r="I50" i="24"/>
  <c r="J50" i="24"/>
  <c r="K50" i="24"/>
  <c r="L50" i="24"/>
  <c r="M50" i="24"/>
  <c r="G53" i="24"/>
  <c r="H53" i="24"/>
  <c r="I53" i="24"/>
  <c r="J53" i="24"/>
  <c r="K53" i="24"/>
  <c r="L53" i="24"/>
  <c r="M53" i="24"/>
  <c r="G54" i="24"/>
  <c r="H54" i="24"/>
  <c r="I54" i="24"/>
  <c r="J54" i="24"/>
  <c r="K54" i="24"/>
  <c r="L54" i="24"/>
  <c r="M54" i="24"/>
  <c r="C76" i="27"/>
  <c r="D76" i="27"/>
  <c r="E76" i="27"/>
  <c r="F76" i="27"/>
  <c r="G76" i="27"/>
  <c r="H76" i="27"/>
  <c r="I76" i="27"/>
  <c r="C78" i="27"/>
  <c r="D78" i="27"/>
  <c r="E78" i="27"/>
  <c r="F78" i="27"/>
  <c r="G78" i="27"/>
  <c r="H78" i="27"/>
  <c r="I78" i="27"/>
  <c r="C80" i="27"/>
  <c r="D80" i="27"/>
  <c r="E80" i="27"/>
  <c r="F80" i="27"/>
  <c r="G80" i="27"/>
  <c r="H80" i="27"/>
  <c r="I80" i="27"/>
  <c r="C81" i="27"/>
  <c r="D81" i="27"/>
  <c r="E81" i="27"/>
  <c r="F81" i="27"/>
  <c r="G81" i="27"/>
  <c r="H81" i="27"/>
  <c r="I81" i="27"/>
  <c r="C82" i="27"/>
  <c r="D82" i="27"/>
  <c r="E82" i="27"/>
  <c r="F82" i="27"/>
  <c r="G82" i="27"/>
  <c r="H82" i="27"/>
  <c r="I82" i="27"/>
  <c r="C83" i="27"/>
  <c r="D83" i="27"/>
  <c r="E83" i="27"/>
  <c r="F83" i="27"/>
  <c r="G83" i="27"/>
  <c r="H83" i="27"/>
  <c r="I83" i="27"/>
  <c r="C84" i="27"/>
  <c r="D84" i="27"/>
  <c r="E84" i="27"/>
  <c r="F84" i="27"/>
  <c r="G84" i="27"/>
  <c r="H84" i="27"/>
  <c r="I84" i="27"/>
  <c r="C85" i="27"/>
  <c r="D85" i="27"/>
  <c r="E85" i="27"/>
  <c r="F85" i="27"/>
  <c r="G85" i="27"/>
  <c r="H85" i="27"/>
  <c r="I85" i="27"/>
  <c r="C88" i="27"/>
  <c r="D88" i="27"/>
  <c r="E88" i="27"/>
  <c r="F88" i="27"/>
  <c r="G88" i="27"/>
  <c r="H88" i="27"/>
  <c r="I88" i="27"/>
  <c r="C89" i="27"/>
  <c r="D89" i="27"/>
  <c r="E89" i="27"/>
  <c r="F89" i="27"/>
  <c r="G89" i="27"/>
  <c r="H89" i="27"/>
  <c r="I89" i="27"/>
  <c r="C90" i="27"/>
  <c r="D90" i="27"/>
  <c r="E90" i="27"/>
  <c r="F90" i="27"/>
  <c r="G90" i="27"/>
  <c r="H90" i="27"/>
  <c r="I90" i="27"/>
  <c r="C91" i="27"/>
  <c r="D91" i="27"/>
  <c r="E91" i="27"/>
  <c r="F91" i="27"/>
  <c r="G91" i="27"/>
  <c r="H91" i="27"/>
  <c r="I91" i="27"/>
  <c r="C92" i="27"/>
  <c r="D92" i="27"/>
  <c r="E92" i="27"/>
  <c r="F92" i="27"/>
  <c r="G92" i="27"/>
  <c r="H92" i="27"/>
  <c r="I92" i="27"/>
  <c r="C95" i="27"/>
  <c r="D95" i="27"/>
  <c r="E95" i="27"/>
  <c r="F95" i="27"/>
  <c r="G95" i="27"/>
  <c r="H95" i="27"/>
  <c r="I95" i="27"/>
  <c r="G6" i="1"/>
  <c r="H6" i="1"/>
  <c r="I6" i="1"/>
  <c r="J6" i="1"/>
  <c r="K6" i="1"/>
  <c r="L6" i="1"/>
  <c r="M6" i="1"/>
  <c r="G9" i="1"/>
  <c r="H9" i="1"/>
  <c r="I9" i="1"/>
  <c r="J9" i="1"/>
  <c r="K9" i="1"/>
  <c r="L9" i="1"/>
  <c r="M9" i="1"/>
  <c r="G10" i="1"/>
  <c r="H10" i="1"/>
  <c r="I10" i="1"/>
  <c r="J10" i="1"/>
  <c r="K10" i="1"/>
  <c r="L10" i="1"/>
  <c r="M10" i="1"/>
  <c r="G11" i="1"/>
  <c r="H11" i="1"/>
  <c r="I11" i="1"/>
  <c r="J11" i="1"/>
  <c r="K11" i="1"/>
  <c r="L11" i="1"/>
  <c r="M11" i="1"/>
  <c r="G12" i="1"/>
  <c r="H12" i="1"/>
  <c r="I12" i="1"/>
  <c r="J12" i="1"/>
  <c r="K12" i="1"/>
  <c r="L12" i="1"/>
  <c r="M12" i="1"/>
  <c r="G13" i="1"/>
  <c r="H13" i="1"/>
  <c r="I13" i="1"/>
  <c r="J13" i="1"/>
  <c r="K13" i="1"/>
  <c r="L13" i="1"/>
  <c r="M13" i="1"/>
  <c r="G17" i="1"/>
  <c r="H17" i="1"/>
  <c r="I17" i="1"/>
  <c r="J17" i="1"/>
  <c r="K17" i="1"/>
  <c r="L17" i="1"/>
  <c r="M17" i="1"/>
  <c r="G18" i="1"/>
  <c r="H18" i="1"/>
  <c r="I18" i="1"/>
  <c r="J18" i="1"/>
  <c r="K18" i="1"/>
  <c r="L18" i="1"/>
  <c r="M18" i="1"/>
  <c r="G19" i="1"/>
  <c r="H19" i="1"/>
  <c r="I19" i="1"/>
  <c r="J19" i="1"/>
  <c r="K19" i="1"/>
  <c r="L19" i="1"/>
  <c r="M19" i="1"/>
  <c r="G20" i="1"/>
  <c r="H20" i="1"/>
  <c r="I20" i="1"/>
  <c r="J20" i="1"/>
  <c r="K20" i="1"/>
  <c r="L20" i="1"/>
  <c r="M20" i="1"/>
  <c r="G21" i="1"/>
  <c r="H21" i="1"/>
  <c r="I21" i="1"/>
  <c r="J21" i="1"/>
  <c r="K21" i="1"/>
  <c r="L21" i="1"/>
  <c r="M21" i="1"/>
  <c r="G23" i="1"/>
  <c r="H23" i="1"/>
  <c r="I23" i="1"/>
  <c r="J23" i="1"/>
  <c r="K23" i="1"/>
  <c r="L23" i="1"/>
  <c r="M23" i="1"/>
  <c r="G24" i="1"/>
  <c r="H24" i="1"/>
  <c r="I24" i="1"/>
  <c r="J24" i="1"/>
  <c r="K24" i="1"/>
  <c r="L24" i="1"/>
  <c r="M24" i="1"/>
  <c r="G25" i="1"/>
  <c r="H25" i="1"/>
  <c r="I25" i="1"/>
  <c r="J25" i="1"/>
  <c r="K25" i="1"/>
  <c r="L25" i="1"/>
  <c r="M25" i="1"/>
  <c r="G26" i="1"/>
  <c r="H26" i="1"/>
  <c r="I26" i="1"/>
  <c r="J26" i="1"/>
  <c r="K26" i="1"/>
  <c r="L26" i="1"/>
  <c r="M26" i="1"/>
  <c r="G27" i="1"/>
  <c r="H27" i="1"/>
  <c r="I27" i="1"/>
  <c r="J27" i="1"/>
  <c r="K27" i="1"/>
  <c r="L27" i="1"/>
  <c r="M27" i="1"/>
  <c r="G28" i="1"/>
  <c r="H28" i="1"/>
  <c r="I28" i="1"/>
  <c r="J28" i="1"/>
  <c r="K28" i="1"/>
  <c r="L28" i="1"/>
  <c r="M28" i="1"/>
  <c r="G29" i="1"/>
  <c r="H29" i="1"/>
  <c r="I29" i="1"/>
  <c r="J29" i="1"/>
  <c r="K29" i="1"/>
  <c r="L29" i="1"/>
  <c r="M29" i="1"/>
  <c r="G30" i="1"/>
  <c r="H30" i="1"/>
  <c r="I30" i="1"/>
  <c r="J30" i="1"/>
  <c r="K30" i="1"/>
  <c r="L30" i="1"/>
  <c r="M30" i="1"/>
  <c r="G31" i="1"/>
  <c r="H31" i="1"/>
  <c r="I31" i="1"/>
  <c r="J31" i="1"/>
  <c r="K31" i="1"/>
  <c r="L31" i="1"/>
  <c r="M31" i="1"/>
  <c r="G34" i="1"/>
  <c r="H34" i="1"/>
  <c r="I34" i="1"/>
  <c r="J34" i="1"/>
  <c r="K34" i="1"/>
  <c r="L34" i="1"/>
  <c r="M34" i="1"/>
  <c r="G35" i="1"/>
  <c r="H35" i="1"/>
  <c r="I35" i="1"/>
  <c r="J35" i="1"/>
  <c r="K35" i="1"/>
  <c r="L35" i="1"/>
  <c r="M35" i="1"/>
  <c r="G36" i="1"/>
  <c r="H36" i="1"/>
  <c r="I36" i="1"/>
  <c r="J36" i="1"/>
  <c r="K36" i="1"/>
  <c r="L36" i="1"/>
  <c r="M36" i="1"/>
  <c r="G37" i="1"/>
  <c r="H37" i="1"/>
  <c r="I37" i="1"/>
  <c r="J37" i="1"/>
  <c r="K37" i="1"/>
  <c r="L37" i="1"/>
  <c r="M37" i="1"/>
  <c r="G39" i="1"/>
  <c r="H39" i="1"/>
  <c r="I39" i="1"/>
  <c r="J39" i="1"/>
  <c r="K39" i="1"/>
  <c r="L39" i="1"/>
  <c r="M39" i="1"/>
  <c r="G40" i="1"/>
  <c r="H40" i="1"/>
  <c r="I40" i="1"/>
  <c r="J40" i="1"/>
  <c r="K40" i="1"/>
  <c r="L40" i="1"/>
  <c r="M40" i="1"/>
  <c r="G41" i="1"/>
  <c r="H41" i="1"/>
  <c r="I41" i="1"/>
  <c r="J41" i="1"/>
  <c r="K41" i="1"/>
  <c r="L41" i="1"/>
  <c r="M41" i="1"/>
  <c r="G42" i="1"/>
  <c r="H42" i="1"/>
  <c r="I42" i="1"/>
  <c r="J42" i="1"/>
  <c r="K42" i="1"/>
  <c r="L42" i="1"/>
  <c r="M42" i="1"/>
  <c r="G43" i="1"/>
  <c r="H43" i="1"/>
  <c r="I43" i="1"/>
  <c r="J43" i="1"/>
  <c r="K43" i="1"/>
  <c r="L43" i="1"/>
  <c r="M43" i="1"/>
  <c r="G44" i="1"/>
  <c r="H44" i="1"/>
  <c r="I44" i="1"/>
  <c r="J44" i="1"/>
  <c r="K44" i="1"/>
  <c r="L44" i="1"/>
  <c r="M44" i="1"/>
  <c r="G45" i="1"/>
  <c r="H45" i="1"/>
  <c r="I45" i="1"/>
  <c r="J45" i="1"/>
  <c r="K45" i="1"/>
  <c r="L45" i="1"/>
  <c r="M45" i="1"/>
  <c r="G50" i="1"/>
  <c r="H50" i="1"/>
  <c r="I50" i="1"/>
  <c r="J50" i="1"/>
  <c r="K50" i="1"/>
  <c r="L50" i="1"/>
  <c r="M50" i="1"/>
  <c r="G51" i="1"/>
  <c r="H51" i="1"/>
  <c r="I51" i="1"/>
  <c r="J51" i="1"/>
  <c r="K51" i="1"/>
  <c r="L51" i="1"/>
  <c r="M51" i="1"/>
  <c r="G54" i="1"/>
  <c r="H54" i="1"/>
  <c r="I54" i="1"/>
  <c r="J54" i="1"/>
  <c r="K54" i="1"/>
  <c r="L54" i="1"/>
  <c r="M54" i="1"/>
  <c r="G55" i="1"/>
  <c r="H55" i="1"/>
  <c r="I55" i="1"/>
  <c r="J55" i="1"/>
  <c r="K55" i="1"/>
  <c r="L55" i="1"/>
  <c r="M55" i="1"/>
  <c r="G56" i="1"/>
  <c r="H56" i="1"/>
  <c r="I56" i="1"/>
  <c r="J56" i="1"/>
  <c r="K56" i="1"/>
  <c r="L56" i="1"/>
  <c r="M56" i="1"/>
  <c r="G57" i="1"/>
  <c r="H57" i="1"/>
  <c r="I57" i="1"/>
  <c r="J57" i="1"/>
  <c r="K57" i="1"/>
  <c r="L57" i="1"/>
  <c r="M57" i="1"/>
  <c r="G59" i="1"/>
  <c r="H59" i="1"/>
  <c r="I59" i="1"/>
  <c r="J59" i="1"/>
  <c r="K59" i="1"/>
  <c r="L59" i="1"/>
  <c r="M59" i="1"/>
  <c r="G60" i="1"/>
  <c r="H60" i="1"/>
  <c r="I60" i="1"/>
  <c r="J60" i="1"/>
  <c r="K60" i="1"/>
  <c r="L60" i="1"/>
  <c r="M60" i="1"/>
  <c r="G61" i="1"/>
  <c r="H61" i="1"/>
  <c r="I61" i="1"/>
  <c r="J61" i="1"/>
  <c r="K61" i="1"/>
  <c r="L61" i="1"/>
  <c r="M61" i="1"/>
  <c r="G62" i="1"/>
  <c r="H62" i="1"/>
  <c r="I62" i="1"/>
  <c r="J62" i="1"/>
  <c r="K62" i="1"/>
  <c r="L62" i="1"/>
  <c r="M62" i="1"/>
  <c r="G63" i="1"/>
  <c r="H63" i="1"/>
  <c r="I63" i="1"/>
  <c r="J63" i="1"/>
  <c r="K63" i="1"/>
  <c r="L63" i="1"/>
  <c r="M63" i="1"/>
  <c r="G64" i="1"/>
  <c r="H64" i="1"/>
  <c r="I64" i="1"/>
  <c r="J64" i="1"/>
  <c r="K64" i="1"/>
  <c r="L64" i="1"/>
  <c r="M64" i="1"/>
  <c r="G67" i="1"/>
  <c r="H67" i="1"/>
  <c r="I67" i="1"/>
  <c r="J67" i="1"/>
  <c r="K67" i="1"/>
  <c r="L67" i="1"/>
  <c r="M67" i="1"/>
  <c r="G68" i="1"/>
  <c r="H68" i="1"/>
  <c r="I68" i="1"/>
  <c r="J68" i="1"/>
  <c r="K68" i="1"/>
  <c r="L68" i="1"/>
  <c r="M68" i="1"/>
  <c r="G69" i="1"/>
  <c r="H69" i="1"/>
  <c r="I69" i="1"/>
  <c r="J69" i="1"/>
  <c r="K69" i="1"/>
  <c r="L69" i="1"/>
  <c r="M69" i="1"/>
  <c r="G72" i="1"/>
  <c r="H72" i="1"/>
  <c r="I72" i="1"/>
  <c r="J72" i="1"/>
  <c r="K72" i="1"/>
  <c r="L72" i="1"/>
  <c r="M72" i="1"/>
  <c r="G73" i="1"/>
  <c r="H73" i="1"/>
  <c r="I73" i="1"/>
  <c r="J73" i="1"/>
  <c r="K73" i="1"/>
  <c r="L73" i="1"/>
  <c r="M73" i="1"/>
  <c r="G74" i="1"/>
  <c r="H74" i="1"/>
  <c r="I74" i="1"/>
  <c r="J74" i="1"/>
  <c r="K74" i="1"/>
  <c r="L74" i="1"/>
  <c r="M74" i="1"/>
  <c r="G75" i="1"/>
  <c r="H75" i="1"/>
  <c r="I75" i="1"/>
  <c r="J75" i="1"/>
  <c r="K75" i="1"/>
  <c r="L75" i="1"/>
  <c r="M75" i="1"/>
  <c r="G77" i="1"/>
  <c r="H77" i="1"/>
  <c r="I77" i="1"/>
  <c r="J77" i="1"/>
  <c r="K77" i="1"/>
  <c r="L77" i="1"/>
  <c r="M77" i="1"/>
  <c r="G78" i="1"/>
  <c r="H78" i="1"/>
  <c r="I78" i="1"/>
  <c r="J78" i="1"/>
  <c r="K78" i="1"/>
  <c r="L78" i="1"/>
  <c r="M78" i="1"/>
  <c r="G79" i="1"/>
  <c r="H79" i="1"/>
  <c r="I79" i="1"/>
  <c r="J79" i="1"/>
  <c r="K79" i="1"/>
  <c r="L79" i="1"/>
  <c r="M79" i="1"/>
  <c r="G80" i="1"/>
  <c r="H80" i="1"/>
  <c r="I80" i="1"/>
  <c r="J80" i="1"/>
  <c r="K80" i="1"/>
  <c r="L80" i="1"/>
  <c r="M80" i="1"/>
  <c r="G81" i="1"/>
  <c r="H81" i="1"/>
  <c r="I81" i="1"/>
  <c r="J81" i="1"/>
  <c r="K81" i="1"/>
  <c r="L81" i="1"/>
  <c r="M81" i="1"/>
  <c r="G82" i="1"/>
  <c r="H82" i="1"/>
  <c r="I82" i="1"/>
  <c r="J82" i="1"/>
  <c r="K82" i="1"/>
  <c r="L82" i="1"/>
  <c r="M82" i="1"/>
  <c r="G83" i="1"/>
  <c r="H83" i="1"/>
  <c r="I83" i="1"/>
  <c r="J83" i="1"/>
  <c r="K83" i="1"/>
  <c r="L83" i="1"/>
  <c r="M83" i="1"/>
  <c r="G84" i="1"/>
  <c r="H84" i="1"/>
  <c r="I84" i="1"/>
  <c r="J84" i="1"/>
  <c r="K84" i="1"/>
  <c r="L84" i="1"/>
  <c r="M84" i="1"/>
  <c r="G85" i="1"/>
  <c r="H85" i="1"/>
  <c r="I85" i="1"/>
  <c r="J85" i="1"/>
  <c r="K85" i="1"/>
  <c r="L85" i="1"/>
  <c r="M85" i="1"/>
  <c r="G86" i="1"/>
  <c r="H86" i="1"/>
  <c r="I86" i="1"/>
  <c r="J86" i="1"/>
  <c r="K86" i="1"/>
  <c r="L86" i="1"/>
  <c r="M86" i="1"/>
  <c r="G87" i="1"/>
  <c r="H87" i="1"/>
  <c r="I87" i="1"/>
  <c r="J87" i="1"/>
  <c r="K87" i="1"/>
  <c r="L87" i="1"/>
  <c r="M87" i="1"/>
  <c r="G88" i="1"/>
  <c r="H88" i="1"/>
  <c r="I88" i="1"/>
  <c r="J88" i="1"/>
  <c r="K88" i="1"/>
  <c r="L88" i="1"/>
  <c r="M88" i="1"/>
  <c r="G90" i="1"/>
  <c r="H90" i="1"/>
  <c r="I90" i="1"/>
  <c r="J90" i="1"/>
  <c r="K90" i="1"/>
  <c r="L90" i="1"/>
  <c r="M90" i="1"/>
  <c r="G91" i="1"/>
  <c r="H91" i="1"/>
  <c r="I91" i="1"/>
  <c r="J91" i="1"/>
  <c r="K91" i="1"/>
  <c r="L91" i="1"/>
  <c r="M91" i="1"/>
  <c r="G92" i="1"/>
  <c r="H92" i="1"/>
  <c r="I92" i="1"/>
  <c r="J92" i="1"/>
  <c r="K92" i="1"/>
  <c r="L92" i="1"/>
  <c r="M92" i="1"/>
  <c r="G93" i="1"/>
  <c r="H93" i="1"/>
  <c r="I93" i="1"/>
  <c r="J93" i="1"/>
  <c r="K93" i="1"/>
  <c r="L93" i="1"/>
  <c r="M93" i="1"/>
  <c r="G94" i="1"/>
  <c r="H94" i="1"/>
  <c r="I94" i="1"/>
  <c r="J94" i="1"/>
  <c r="K94" i="1"/>
  <c r="L94" i="1"/>
  <c r="M94" i="1"/>
  <c r="G96" i="1"/>
  <c r="H96" i="1"/>
  <c r="I96" i="1"/>
  <c r="J96" i="1"/>
  <c r="K96" i="1"/>
  <c r="L96" i="1"/>
  <c r="M96" i="1"/>
  <c r="G97" i="1"/>
  <c r="H97" i="1"/>
  <c r="I97" i="1"/>
  <c r="J97" i="1"/>
  <c r="K97" i="1"/>
  <c r="L97" i="1"/>
  <c r="M97" i="1"/>
  <c r="G99" i="1"/>
  <c r="H99" i="1"/>
  <c r="I99" i="1"/>
  <c r="J99" i="1"/>
  <c r="K99" i="1"/>
  <c r="L99" i="1"/>
  <c r="M99" i="1"/>
  <c r="G100" i="1"/>
  <c r="H100" i="1"/>
  <c r="I100" i="1"/>
  <c r="J100" i="1"/>
  <c r="K100" i="1"/>
  <c r="L100" i="1"/>
  <c r="M100" i="1"/>
  <c r="G101" i="1"/>
  <c r="H101" i="1"/>
  <c r="I101" i="1"/>
  <c r="J101" i="1"/>
  <c r="K101" i="1"/>
  <c r="L101" i="1"/>
  <c r="M101" i="1"/>
  <c r="G106" i="1"/>
  <c r="H106" i="1"/>
  <c r="I106" i="1"/>
  <c r="J106" i="1"/>
  <c r="K106" i="1"/>
  <c r="L106" i="1"/>
  <c r="M106" i="1"/>
  <c r="G107" i="1"/>
  <c r="H107" i="1"/>
  <c r="I107" i="1"/>
  <c r="J107" i="1"/>
  <c r="K107" i="1"/>
  <c r="L107" i="1"/>
  <c r="M107" i="1"/>
  <c r="G108" i="1"/>
  <c r="H108" i="1"/>
  <c r="I108" i="1"/>
  <c r="J108" i="1"/>
  <c r="K108" i="1"/>
  <c r="L108" i="1"/>
  <c r="M108" i="1"/>
  <c r="G109" i="1"/>
  <c r="H109" i="1"/>
  <c r="I109" i="1"/>
  <c r="J109" i="1"/>
  <c r="K109" i="1"/>
  <c r="L109" i="1"/>
  <c r="M109" i="1"/>
  <c r="G118" i="1"/>
  <c r="H118" i="1"/>
  <c r="I118" i="1"/>
  <c r="J118" i="1"/>
  <c r="K118" i="1"/>
  <c r="L118" i="1"/>
  <c r="M118" i="1"/>
  <c r="G120" i="1"/>
  <c r="H120" i="1"/>
  <c r="I120" i="1"/>
  <c r="J120" i="1"/>
  <c r="K120" i="1"/>
  <c r="L120" i="1"/>
  <c r="M120" i="1"/>
  <c r="G126" i="1"/>
  <c r="H126" i="1"/>
  <c r="I126" i="1"/>
  <c r="J126" i="1"/>
  <c r="K126" i="1"/>
  <c r="L126" i="1"/>
  <c r="M126" i="1"/>
  <c r="G127" i="1"/>
  <c r="H127" i="1"/>
  <c r="I127" i="1"/>
  <c r="J127" i="1"/>
  <c r="K127" i="1"/>
  <c r="L127" i="1"/>
  <c r="M127" i="1"/>
  <c r="G128" i="1"/>
  <c r="H128" i="1"/>
  <c r="I128" i="1"/>
  <c r="J128" i="1"/>
  <c r="K128" i="1"/>
  <c r="L128" i="1"/>
  <c r="M128" i="1"/>
  <c r="G129" i="1"/>
  <c r="H129" i="1"/>
  <c r="I129" i="1"/>
  <c r="J129" i="1"/>
  <c r="K129" i="1"/>
  <c r="L129" i="1"/>
  <c r="M129" i="1"/>
  <c r="G133" i="1"/>
  <c r="H133" i="1"/>
  <c r="I133" i="1"/>
  <c r="J133" i="1"/>
  <c r="K133" i="1"/>
  <c r="L133" i="1"/>
  <c r="M133" i="1"/>
  <c r="G134" i="1"/>
  <c r="H134" i="1"/>
  <c r="I134" i="1"/>
  <c r="J134" i="1"/>
  <c r="K134" i="1"/>
  <c r="L134" i="1"/>
  <c r="M134" i="1"/>
  <c r="G135" i="1"/>
  <c r="H135" i="1"/>
  <c r="I135" i="1"/>
  <c r="J135" i="1"/>
  <c r="K135" i="1"/>
  <c r="L135" i="1"/>
  <c r="M135" i="1"/>
  <c r="G136" i="1"/>
  <c r="H136" i="1"/>
  <c r="I136" i="1"/>
  <c r="J136" i="1"/>
  <c r="K136" i="1"/>
  <c r="L136" i="1"/>
  <c r="M136" i="1"/>
  <c r="G138" i="1"/>
  <c r="H138" i="1"/>
  <c r="I138" i="1"/>
  <c r="J138" i="1"/>
  <c r="K138" i="1"/>
  <c r="L138" i="1"/>
  <c r="M138" i="1"/>
  <c r="G139" i="1"/>
  <c r="H139" i="1"/>
  <c r="I139" i="1"/>
  <c r="J139" i="1"/>
  <c r="K139" i="1"/>
  <c r="L139" i="1"/>
  <c r="M139" i="1"/>
  <c r="G140" i="1"/>
  <c r="H140" i="1"/>
  <c r="I140" i="1"/>
  <c r="J140" i="1"/>
  <c r="K140" i="1"/>
  <c r="L140" i="1"/>
  <c r="M140" i="1"/>
  <c r="G141" i="1"/>
  <c r="H141" i="1"/>
  <c r="I141" i="1"/>
  <c r="J141" i="1"/>
  <c r="K141" i="1"/>
  <c r="L141" i="1"/>
  <c r="M141" i="1"/>
  <c r="G144" i="1"/>
  <c r="H144" i="1"/>
  <c r="I144" i="1"/>
  <c r="J144" i="1"/>
  <c r="K144" i="1"/>
  <c r="L144" i="1"/>
  <c r="M144" i="1"/>
  <c r="G145" i="1"/>
  <c r="H145" i="1"/>
  <c r="I145" i="1"/>
  <c r="J145" i="1"/>
  <c r="K145" i="1"/>
  <c r="L145" i="1"/>
  <c r="M145" i="1"/>
  <c r="G146" i="1"/>
  <c r="H146" i="1"/>
  <c r="I146" i="1"/>
  <c r="J146" i="1"/>
  <c r="K146" i="1"/>
  <c r="L146" i="1"/>
  <c r="M146" i="1"/>
  <c r="G147" i="1"/>
  <c r="H147" i="1"/>
  <c r="I147" i="1"/>
  <c r="J147" i="1"/>
  <c r="K147" i="1"/>
  <c r="L147" i="1"/>
  <c r="M147" i="1"/>
  <c r="G148" i="1"/>
  <c r="H148" i="1"/>
  <c r="I148" i="1"/>
  <c r="J148" i="1"/>
  <c r="K148" i="1"/>
  <c r="L148" i="1"/>
  <c r="M148" i="1"/>
  <c r="G150" i="1"/>
  <c r="H150" i="1"/>
  <c r="I150" i="1"/>
  <c r="J150" i="1"/>
  <c r="K150" i="1"/>
  <c r="L150" i="1"/>
  <c r="M150" i="1"/>
  <c r="G151" i="1"/>
  <c r="H151" i="1"/>
  <c r="I151" i="1"/>
  <c r="J151" i="1"/>
  <c r="K151" i="1"/>
  <c r="L151" i="1"/>
  <c r="M151" i="1"/>
  <c r="G152" i="1"/>
  <c r="H152" i="1"/>
  <c r="I152" i="1"/>
  <c r="J152" i="1"/>
  <c r="K152" i="1"/>
  <c r="L152" i="1"/>
  <c r="M152" i="1"/>
  <c r="G153" i="1"/>
  <c r="H153" i="1"/>
  <c r="I153" i="1"/>
  <c r="J153" i="1"/>
  <c r="K153" i="1"/>
  <c r="L153" i="1"/>
  <c r="M153" i="1"/>
  <c r="G154" i="1"/>
  <c r="H154" i="1"/>
  <c r="I154" i="1"/>
  <c r="J154" i="1"/>
  <c r="K154" i="1"/>
  <c r="L154" i="1"/>
  <c r="M154" i="1"/>
  <c r="G156" i="1"/>
  <c r="H156" i="1"/>
  <c r="I156" i="1"/>
  <c r="J156" i="1"/>
  <c r="K156" i="1"/>
  <c r="L156" i="1"/>
  <c r="M156" i="1"/>
  <c r="G157" i="1"/>
  <c r="H157" i="1"/>
  <c r="I157" i="1"/>
  <c r="J157" i="1"/>
  <c r="K157" i="1"/>
  <c r="L157" i="1"/>
  <c r="M157" i="1"/>
  <c r="G158" i="1"/>
  <c r="H158" i="1"/>
  <c r="I158" i="1"/>
  <c r="J158" i="1"/>
  <c r="K158" i="1"/>
  <c r="L158" i="1"/>
  <c r="M158" i="1"/>
  <c r="G159" i="1"/>
  <c r="H159" i="1"/>
  <c r="I159" i="1"/>
  <c r="J159" i="1"/>
  <c r="K159" i="1"/>
  <c r="L159" i="1"/>
  <c r="M159" i="1"/>
  <c r="G162" i="1"/>
  <c r="H162" i="1"/>
  <c r="I162" i="1"/>
  <c r="J162" i="1"/>
  <c r="K162" i="1"/>
  <c r="L162" i="1"/>
  <c r="M162" i="1"/>
  <c r="G163" i="1"/>
  <c r="H163" i="1"/>
  <c r="I163" i="1"/>
  <c r="J163" i="1"/>
  <c r="K163" i="1"/>
  <c r="L163" i="1"/>
  <c r="M163" i="1"/>
  <c r="G164" i="1"/>
  <c r="H164" i="1"/>
  <c r="I164" i="1"/>
  <c r="J164" i="1"/>
  <c r="K164" i="1"/>
  <c r="L164" i="1"/>
  <c r="M164" i="1"/>
  <c r="G165" i="1"/>
  <c r="H165" i="1"/>
  <c r="I165" i="1"/>
  <c r="J165" i="1"/>
  <c r="K165" i="1"/>
  <c r="L165" i="1"/>
  <c r="M165" i="1"/>
  <c r="G167" i="1"/>
  <c r="H167" i="1"/>
  <c r="I167" i="1"/>
  <c r="J167" i="1"/>
  <c r="K167" i="1"/>
  <c r="L167" i="1"/>
  <c r="M167" i="1"/>
  <c r="G168" i="1"/>
  <c r="H168" i="1"/>
  <c r="I168" i="1"/>
  <c r="J168" i="1"/>
  <c r="K168" i="1"/>
  <c r="L168" i="1"/>
  <c r="M168" i="1"/>
  <c r="G169" i="1"/>
  <c r="H169" i="1"/>
  <c r="I169" i="1"/>
  <c r="J169" i="1"/>
  <c r="K169" i="1"/>
  <c r="L169" i="1"/>
  <c r="M169" i="1"/>
  <c r="G170" i="1"/>
  <c r="H170" i="1"/>
  <c r="I170" i="1"/>
  <c r="J170" i="1"/>
  <c r="K170" i="1"/>
  <c r="L170" i="1"/>
  <c r="M170" i="1"/>
  <c r="G172" i="1"/>
  <c r="H172" i="1"/>
  <c r="I172" i="1"/>
  <c r="J172" i="1"/>
  <c r="K172" i="1"/>
  <c r="L172" i="1"/>
  <c r="M172" i="1"/>
  <c r="G173" i="1"/>
  <c r="H173" i="1"/>
  <c r="I173" i="1"/>
  <c r="J173" i="1"/>
  <c r="K173" i="1"/>
  <c r="L173" i="1"/>
  <c r="M173" i="1"/>
  <c r="G174" i="1"/>
  <c r="H174" i="1"/>
  <c r="I174" i="1"/>
  <c r="J174" i="1"/>
  <c r="K174" i="1"/>
  <c r="L174" i="1"/>
  <c r="M174" i="1"/>
  <c r="G175" i="1"/>
  <c r="H175" i="1"/>
  <c r="I175" i="1"/>
  <c r="J175" i="1"/>
  <c r="K175" i="1"/>
  <c r="L175" i="1"/>
  <c r="M175" i="1"/>
  <c r="G177" i="1"/>
  <c r="H177" i="1"/>
  <c r="I177" i="1"/>
  <c r="J177" i="1"/>
  <c r="K177" i="1"/>
  <c r="L177" i="1"/>
  <c r="M177" i="1"/>
  <c r="G178" i="1"/>
  <c r="H178" i="1"/>
  <c r="I178" i="1"/>
  <c r="J178" i="1"/>
  <c r="K178" i="1"/>
  <c r="L178" i="1"/>
  <c r="M178" i="1"/>
  <c r="G179" i="1"/>
  <c r="H179" i="1"/>
  <c r="I179" i="1"/>
  <c r="J179" i="1"/>
  <c r="K179" i="1"/>
  <c r="L179" i="1"/>
  <c r="M179" i="1"/>
  <c r="G180" i="1"/>
  <c r="H180" i="1"/>
  <c r="I180" i="1"/>
  <c r="J180" i="1"/>
  <c r="K180" i="1"/>
  <c r="L180" i="1"/>
  <c r="M180" i="1"/>
  <c r="G182" i="1"/>
  <c r="H182" i="1"/>
  <c r="I182" i="1"/>
  <c r="J182" i="1"/>
  <c r="K182" i="1"/>
  <c r="L182" i="1"/>
  <c r="M182" i="1"/>
  <c r="G183" i="1"/>
  <c r="H183" i="1"/>
  <c r="I183" i="1"/>
  <c r="J183" i="1"/>
  <c r="K183" i="1"/>
  <c r="L183" i="1"/>
  <c r="M183" i="1"/>
  <c r="G184" i="1"/>
  <c r="H184" i="1"/>
  <c r="I184" i="1"/>
  <c r="J184" i="1"/>
  <c r="K184" i="1"/>
  <c r="L184" i="1"/>
  <c r="M184" i="1"/>
  <c r="G185" i="1"/>
  <c r="H185" i="1"/>
  <c r="I185" i="1"/>
  <c r="J185" i="1"/>
  <c r="K185" i="1"/>
  <c r="L185" i="1"/>
  <c r="M185" i="1"/>
  <c r="G187" i="1"/>
  <c r="H187" i="1"/>
  <c r="I187" i="1"/>
  <c r="J187" i="1"/>
  <c r="K187" i="1"/>
  <c r="L187" i="1"/>
  <c r="M187" i="1"/>
  <c r="G188" i="1"/>
  <c r="H188" i="1"/>
  <c r="I188" i="1"/>
  <c r="J188" i="1"/>
  <c r="K188" i="1"/>
  <c r="L188" i="1"/>
  <c r="M188" i="1"/>
  <c r="G189" i="1"/>
  <c r="H189" i="1"/>
  <c r="I189" i="1"/>
  <c r="J189" i="1"/>
  <c r="K189" i="1"/>
  <c r="L189" i="1"/>
  <c r="M189" i="1"/>
  <c r="G190" i="1"/>
  <c r="H190" i="1"/>
  <c r="I190" i="1"/>
  <c r="J190" i="1"/>
  <c r="K190" i="1"/>
  <c r="L190" i="1"/>
  <c r="M190" i="1"/>
  <c r="G194" i="1"/>
  <c r="H194" i="1"/>
  <c r="I194" i="1"/>
  <c r="J194" i="1"/>
  <c r="K194" i="1"/>
  <c r="L194" i="1"/>
  <c r="M194" i="1"/>
  <c r="G196" i="1"/>
  <c r="H196" i="1"/>
  <c r="I196" i="1"/>
  <c r="J196" i="1"/>
  <c r="K196" i="1"/>
  <c r="L196" i="1"/>
  <c r="M196" i="1"/>
  <c r="K213" i="1"/>
  <c r="G214" i="1"/>
  <c r="H214" i="1"/>
  <c r="I214" i="1"/>
  <c r="J214" i="1"/>
  <c r="K214" i="1"/>
  <c r="L214" i="1"/>
  <c r="M214" i="1"/>
  <c r="G215" i="1"/>
  <c r="H215" i="1"/>
  <c r="I215" i="1"/>
  <c r="J215" i="1"/>
  <c r="K215" i="1"/>
  <c r="L215" i="1"/>
  <c r="M215" i="1"/>
  <c r="G216" i="1"/>
  <c r="H216" i="1"/>
  <c r="I216" i="1"/>
  <c r="J216" i="1"/>
  <c r="K216" i="1"/>
  <c r="L216" i="1"/>
  <c r="M216" i="1"/>
  <c r="G217" i="1"/>
  <c r="H217" i="1"/>
  <c r="I217" i="1"/>
  <c r="J217" i="1"/>
  <c r="K217" i="1"/>
  <c r="L217" i="1"/>
  <c r="M217" i="1"/>
  <c r="G221" i="1"/>
  <c r="H221" i="1"/>
  <c r="I221" i="1"/>
  <c r="J221" i="1"/>
  <c r="K221" i="1"/>
  <c r="L221" i="1"/>
  <c r="M221" i="1"/>
  <c r="G223" i="1"/>
  <c r="H223" i="1"/>
  <c r="I223" i="1"/>
  <c r="J223" i="1"/>
  <c r="K223" i="1"/>
  <c r="L223" i="1"/>
  <c r="M223" i="1"/>
  <c r="G227" i="1"/>
  <c r="H227" i="1"/>
  <c r="I227" i="1"/>
  <c r="J227" i="1"/>
  <c r="K227" i="1"/>
  <c r="L227" i="1"/>
  <c r="M227" i="1"/>
  <c r="G229" i="1"/>
  <c r="H229" i="1"/>
  <c r="I229" i="1"/>
  <c r="J229" i="1"/>
  <c r="K229" i="1"/>
  <c r="L229" i="1"/>
  <c r="M229" i="1"/>
  <c r="G258" i="1"/>
  <c r="H258" i="1"/>
  <c r="I258" i="1"/>
  <c r="J258" i="1"/>
  <c r="K258" i="1"/>
  <c r="L258" i="1"/>
  <c r="M258" i="1"/>
  <c r="G259" i="1"/>
  <c r="H259" i="1"/>
  <c r="I259" i="1"/>
  <c r="J259" i="1"/>
  <c r="K259" i="1"/>
  <c r="L259" i="1"/>
  <c r="M259" i="1"/>
  <c r="G260" i="1"/>
  <c r="H260" i="1"/>
  <c r="I260" i="1"/>
  <c r="J260" i="1"/>
  <c r="K260" i="1"/>
  <c r="L260" i="1"/>
  <c r="M260" i="1"/>
  <c r="G261" i="1"/>
  <c r="H261" i="1"/>
  <c r="I261" i="1"/>
  <c r="J261" i="1"/>
  <c r="K261" i="1"/>
  <c r="L261" i="1"/>
  <c r="M261" i="1"/>
  <c r="G263" i="1"/>
  <c r="H263" i="1"/>
  <c r="I263" i="1"/>
  <c r="J263" i="1"/>
  <c r="K263" i="1"/>
  <c r="L263" i="1"/>
  <c r="M263" i="1"/>
  <c r="G264" i="1"/>
  <c r="H264" i="1"/>
  <c r="I264" i="1"/>
  <c r="J264" i="1"/>
  <c r="K264" i="1"/>
  <c r="L264" i="1"/>
  <c r="M264" i="1"/>
  <c r="G265" i="1"/>
  <c r="H265" i="1"/>
  <c r="I265" i="1"/>
  <c r="J265" i="1"/>
  <c r="K265" i="1"/>
  <c r="L265" i="1"/>
  <c r="M265" i="1"/>
  <c r="G268" i="1"/>
  <c r="H268" i="1"/>
  <c r="I268" i="1"/>
  <c r="J268" i="1"/>
  <c r="K268" i="1"/>
  <c r="L268" i="1"/>
  <c r="M268" i="1"/>
  <c r="G269" i="1"/>
  <c r="H269" i="1"/>
  <c r="I269" i="1"/>
  <c r="J269" i="1"/>
  <c r="K269" i="1"/>
  <c r="L269" i="1"/>
  <c r="M269" i="1"/>
  <c r="G270" i="1"/>
  <c r="H270" i="1"/>
  <c r="I270" i="1"/>
  <c r="J270" i="1"/>
  <c r="K270" i="1"/>
  <c r="L270" i="1"/>
  <c r="M270" i="1"/>
  <c r="G273" i="1"/>
  <c r="H273" i="1"/>
  <c r="I273" i="1"/>
  <c r="J273" i="1"/>
  <c r="K273" i="1"/>
  <c r="L273" i="1"/>
  <c r="M273" i="1"/>
  <c r="G274" i="1"/>
  <c r="H274" i="1"/>
  <c r="I274" i="1"/>
  <c r="J274" i="1"/>
  <c r="K274" i="1"/>
  <c r="L274" i="1"/>
  <c r="M274" i="1"/>
  <c r="G275" i="1"/>
  <c r="H275" i="1"/>
  <c r="I275" i="1"/>
  <c r="J275" i="1"/>
  <c r="K275" i="1"/>
  <c r="L275" i="1"/>
  <c r="M275" i="1"/>
  <c r="G7" i="9"/>
  <c r="H7" i="9"/>
  <c r="I7" i="9"/>
  <c r="J7" i="9"/>
  <c r="K7" i="9"/>
  <c r="L7" i="9"/>
  <c r="M7" i="9"/>
  <c r="G8" i="9"/>
  <c r="H8" i="9"/>
  <c r="I8" i="9"/>
  <c r="J8" i="9"/>
  <c r="K8" i="9"/>
  <c r="L8" i="9"/>
  <c r="M8" i="9"/>
  <c r="G14" i="9"/>
  <c r="H14" i="9"/>
  <c r="I14" i="9"/>
  <c r="J14" i="9"/>
  <c r="K14" i="9"/>
  <c r="L14" i="9"/>
  <c r="M14" i="9"/>
  <c r="G16" i="9"/>
  <c r="H16" i="9"/>
  <c r="I16" i="9"/>
  <c r="J16" i="9"/>
  <c r="K16" i="9"/>
  <c r="L16" i="9"/>
  <c r="M16" i="9"/>
  <c r="G18" i="9"/>
  <c r="H18" i="9"/>
  <c r="I18" i="9"/>
  <c r="J18" i="9"/>
  <c r="K18" i="9"/>
  <c r="L18" i="9"/>
  <c r="M18" i="9"/>
  <c r="G20" i="9"/>
  <c r="H20" i="9"/>
  <c r="I20" i="9"/>
  <c r="J20" i="9"/>
  <c r="K20" i="9"/>
  <c r="L20" i="9"/>
  <c r="M20" i="9"/>
  <c r="G23" i="9"/>
  <c r="H23" i="9"/>
  <c r="I23" i="9"/>
  <c r="J23" i="9"/>
  <c r="K23" i="9"/>
  <c r="L23" i="9"/>
  <c r="M23" i="9"/>
  <c r="G24" i="9"/>
  <c r="H24" i="9"/>
  <c r="I24" i="9"/>
  <c r="J24" i="9"/>
  <c r="K24" i="9"/>
  <c r="L24" i="9"/>
  <c r="M24" i="9"/>
  <c r="G25" i="9"/>
  <c r="H25" i="9"/>
  <c r="I25" i="9"/>
  <c r="J25" i="9"/>
  <c r="K25" i="9"/>
  <c r="L25" i="9"/>
  <c r="M25" i="9"/>
  <c r="G29" i="9"/>
  <c r="H29" i="9"/>
  <c r="I29" i="9"/>
  <c r="J29" i="9"/>
  <c r="K29" i="9"/>
  <c r="L29" i="9"/>
  <c r="M29" i="9"/>
  <c r="G30" i="9"/>
  <c r="H30" i="9"/>
  <c r="I30" i="9"/>
  <c r="J30" i="9"/>
  <c r="K30" i="9"/>
  <c r="L30" i="9"/>
  <c r="M30" i="9"/>
  <c r="G31" i="9"/>
  <c r="H31" i="9"/>
  <c r="I31" i="9"/>
  <c r="J31" i="9"/>
  <c r="K31" i="9"/>
  <c r="L31" i="9"/>
  <c r="M31" i="9"/>
  <c r="G32" i="9"/>
  <c r="H32" i="9"/>
  <c r="I32" i="9"/>
  <c r="J32" i="9"/>
  <c r="K32" i="9"/>
  <c r="L32" i="9"/>
  <c r="M32" i="9"/>
  <c r="G34" i="9"/>
  <c r="H34" i="9"/>
  <c r="I34" i="9"/>
  <c r="J34" i="9"/>
  <c r="K34" i="9"/>
  <c r="L34" i="9"/>
  <c r="M34" i="9"/>
  <c r="G35" i="9"/>
  <c r="H35" i="9"/>
  <c r="I35" i="9"/>
  <c r="J35" i="9"/>
  <c r="K35" i="9"/>
  <c r="L35" i="9"/>
  <c r="M35" i="9"/>
  <c r="G39" i="9"/>
  <c r="H39" i="9"/>
  <c r="I39" i="9"/>
  <c r="J39" i="9"/>
  <c r="K39" i="9"/>
  <c r="L39" i="9"/>
  <c r="M39" i="9"/>
  <c r="G40" i="9"/>
  <c r="H40" i="9"/>
  <c r="I40" i="9"/>
  <c r="J40" i="9"/>
  <c r="K40" i="9"/>
  <c r="L40" i="9"/>
  <c r="M40" i="9"/>
  <c r="G41" i="9"/>
  <c r="H41" i="9"/>
  <c r="I41" i="9"/>
  <c r="J41" i="9"/>
  <c r="K41" i="9"/>
  <c r="L41" i="9"/>
  <c r="M41" i="9"/>
  <c r="G42" i="9"/>
  <c r="H42" i="9"/>
  <c r="I42" i="9"/>
  <c r="J42" i="9"/>
  <c r="K42" i="9"/>
  <c r="L42" i="9"/>
  <c r="M42" i="9"/>
  <c r="G43" i="9"/>
  <c r="H43" i="9"/>
  <c r="I43" i="9"/>
  <c r="J43" i="9"/>
  <c r="K43" i="9"/>
  <c r="L43" i="9"/>
  <c r="M43" i="9"/>
  <c r="G45" i="9"/>
  <c r="H45" i="9"/>
  <c r="I45" i="9"/>
  <c r="J45" i="9"/>
  <c r="K45" i="9"/>
  <c r="L45" i="9"/>
  <c r="M45" i="9"/>
  <c r="G46" i="9"/>
  <c r="H46" i="9"/>
  <c r="I46" i="9"/>
  <c r="J46" i="9"/>
  <c r="K46" i="9"/>
  <c r="L46" i="9"/>
  <c r="M46" i="9"/>
  <c r="G47" i="9"/>
  <c r="H47" i="9"/>
  <c r="I47" i="9"/>
  <c r="J47" i="9"/>
  <c r="K47" i="9"/>
  <c r="L47" i="9"/>
  <c r="M47" i="9"/>
  <c r="G48" i="9"/>
  <c r="H48" i="9"/>
  <c r="I48" i="9"/>
  <c r="J48" i="9"/>
  <c r="K48" i="9"/>
  <c r="L48" i="9"/>
  <c r="M48" i="9"/>
  <c r="G49" i="9"/>
  <c r="H49" i="9"/>
  <c r="I49" i="9"/>
  <c r="J49" i="9"/>
  <c r="K49" i="9"/>
  <c r="L49" i="9"/>
  <c r="M49" i="9"/>
  <c r="G50" i="9"/>
  <c r="H50" i="9"/>
  <c r="I50" i="9"/>
  <c r="J50" i="9"/>
  <c r="K50" i="9"/>
  <c r="L50" i="9"/>
  <c r="M50" i="9"/>
  <c r="G52" i="9"/>
  <c r="H52" i="9"/>
  <c r="I52" i="9"/>
  <c r="J52" i="9"/>
  <c r="K52" i="9"/>
  <c r="L52" i="9"/>
  <c r="M52" i="9"/>
  <c r="G53" i="9"/>
  <c r="H53" i="9"/>
  <c r="I53" i="9"/>
  <c r="J53" i="9"/>
  <c r="K53" i="9"/>
  <c r="L53" i="9"/>
  <c r="M53" i="9"/>
  <c r="G54" i="9"/>
  <c r="H54" i="9"/>
  <c r="I54" i="9"/>
  <c r="J54" i="9"/>
  <c r="K54" i="9"/>
  <c r="L54" i="9"/>
  <c r="M54" i="9"/>
  <c r="G55" i="9"/>
  <c r="H55" i="9"/>
  <c r="I55" i="9"/>
  <c r="J55" i="9"/>
  <c r="K55" i="9"/>
  <c r="L55" i="9"/>
  <c r="M55" i="9"/>
  <c r="G56" i="9"/>
  <c r="H56" i="9"/>
  <c r="I56" i="9"/>
  <c r="J56" i="9"/>
  <c r="K56" i="9"/>
  <c r="L56" i="9"/>
  <c r="M56" i="9"/>
  <c r="G57" i="9"/>
  <c r="H57" i="9"/>
  <c r="I57" i="9"/>
  <c r="J57" i="9"/>
  <c r="K57" i="9"/>
  <c r="L57" i="9"/>
  <c r="M57" i="9"/>
  <c r="G58" i="9"/>
  <c r="H58" i="9"/>
  <c r="I58" i="9"/>
  <c r="J58" i="9"/>
  <c r="K58" i="9"/>
  <c r="L58" i="9"/>
  <c r="M58" i="9"/>
  <c r="G59" i="9"/>
  <c r="H59" i="9"/>
  <c r="I59" i="9"/>
  <c r="J59" i="9"/>
  <c r="K59" i="9"/>
  <c r="L59" i="9"/>
  <c r="M59" i="9"/>
  <c r="G60" i="9"/>
  <c r="H60" i="9"/>
  <c r="I60" i="9"/>
  <c r="J60" i="9"/>
  <c r="K60" i="9"/>
  <c r="L60" i="9"/>
  <c r="M60" i="9"/>
  <c r="G61" i="9"/>
  <c r="H61" i="9"/>
  <c r="I61" i="9"/>
  <c r="J61" i="9"/>
  <c r="K61" i="9"/>
  <c r="L61" i="9"/>
  <c r="M61" i="9"/>
  <c r="G65" i="9"/>
  <c r="H65" i="9"/>
  <c r="I65" i="9"/>
  <c r="J65" i="9"/>
  <c r="K65" i="9"/>
  <c r="L65" i="9"/>
  <c r="M65" i="9"/>
  <c r="G66" i="9"/>
  <c r="H66" i="9"/>
  <c r="I66" i="9"/>
  <c r="J66" i="9"/>
  <c r="K66" i="9"/>
  <c r="L66" i="9"/>
  <c r="M66" i="9"/>
  <c r="G72" i="9"/>
  <c r="H72" i="9"/>
  <c r="I72" i="9"/>
  <c r="J72" i="9"/>
  <c r="K72" i="9"/>
  <c r="L72" i="9"/>
  <c r="M72" i="9"/>
  <c r="G74" i="9"/>
  <c r="H74" i="9"/>
  <c r="I74" i="9"/>
  <c r="J74" i="9"/>
  <c r="K74" i="9"/>
  <c r="L74" i="9"/>
  <c r="M74" i="9"/>
  <c r="G76" i="9"/>
  <c r="H76" i="9"/>
  <c r="I76" i="9"/>
  <c r="J76" i="9"/>
  <c r="K76" i="9"/>
  <c r="L76" i="9"/>
  <c r="M76" i="9"/>
  <c r="G78" i="9"/>
  <c r="H78" i="9"/>
  <c r="I78" i="9"/>
  <c r="J78" i="9"/>
  <c r="K78" i="9"/>
  <c r="L78" i="9"/>
  <c r="M78" i="9"/>
  <c r="G81" i="9"/>
  <c r="H81" i="9"/>
  <c r="I81" i="9"/>
  <c r="J81" i="9"/>
  <c r="K81" i="9"/>
  <c r="L81" i="9"/>
  <c r="M81" i="9"/>
  <c r="G82" i="9"/>
  <c r="H82" i="9"/>
  <c r="I82" i="9"/>
  <c r="J82" i="9"/>
  <c r="K82" i="9"/>
  <c r="L82" i="9"/>
  <c r="M82" i="9"/>
  <c r="G83" i="9"/>
  <c r="H83" i="9"/>
  <c r="I83" i="9"/>
  <c r="J83" i="9"/>
  <c r="K83" i="9"/>
  <c r="L83" i="9"/>
  <c r="M83" i="9"/>
  <c r="G87" i="9"/>
  <c r="H87" i="9"/>
  <c r="I87" i="9"/>
  <c r="J87" i="9"/>
  <c r="K87" i="9"/>
  <c r="L87" i="9"/>
  <c r="M87" i="9"/>
  <c r="G88" i="9"/>
  <c r="H88" i="9"/>
  <c r="I88" i="9"/>
  <c r="J88" i="9"/>
  <c r="K88" i="9"/>
  <c r="L88" i="9"/>
  <c r="M88" i="9"/>
  <c r="G89" i="9"/>
  <c r="H89" i="9"/>
  <c r="I89" i="9"/>
  <c r="J89" i="9"/>
  <c r="K89" i="9"/>
  <c r="L89" i="9"/>
  <c r="M89" i="9"/>
  <c r="G91" i="9"/>
  <c r="H91" i="9"/>
  <c r="I91" i="9"/>
  <c r="J91" i="9"/>
  <c r="K91" i="9"/>
  <c r="L91" i="9"/>
  <c r="M91" i="9"/>
  <c r="G92" i="9"/>
  <c r="H92" i="9"/>
  <c r="I92" i="9"/>
  <c r="J92" i="9"/>
  <c r="K92" i="9"/>
  <c r="L92" i="9"/>
  <c r="M92" i="9"/>
  <c r="G95" i="9"/>
  <c r="H95" i="9"/>
  <c r="I95" i="9"/>
  <c r="J95" i="9"/>
  <c r="K95" i="9"/>
  <c r="L95" i="9"/>
  <c r="M95" i="9"/>
  <c r="G96" i="9"/>
  <c r="H96" i="9"/>
  <c r="I96" i="9"/>
  <c r="J96" i="9"/>
  <c r="K96" i="9"/>
  <c r="L96" i="9"/>
  <c r="M96" i="9"/>
  <c r="G97" i="9"/>
  <c r="H97" i="9"/>
  <c r="I97" i="9"/>
  <c r="J97" i="9"/>
  <c r="K97" i="9"/>
  <c r="L97" i="9"/>
  <c r="M97" i="9"/>
  <c r="G98" i="9"/>
  <c r="H98" i="9"/>
  <c r="I98" i="9"/>
  <c r="J98" i="9"/>
  <c r="K98" i="9"/>
  <c r="L98" i="9"/>
  <c r="M98" i="9"/>
  <c r="G99" i="9"/>
  <c r="H99" i="9"/>
  <c r="I99" i="9"/>
  <c r="J99" i="9"/>
  <c r="K99" i="9"/>
  <c r="L99" i="9"/>
  <c r="M99" i="9"/>
  <c r="G101" i="9"/>
  <c r="H101" i="9"/>
  <c r="I101" i="9"/>
  <c r="J101" i="9"/>
  <c r="K101" i="9"/>
  <c r="L101" i="9"/>
  <c r="M101" i="9"/>
  <c r="G102" i="9"/>
  <c r="H102" i="9"/>
  <c r="I102" i="9"/>
  <c r="J102" i="9"/>
  <c r="K102" i="9"/>
  <c r="L102" i="9"/>
  <c r="M102" i="9"/>
  <c r="G103" i="9"/>
  <c r="H103" i="9"/>
  <c r="I103" i="9"/>
  <c r="J103" i="9"/>
  <c r="K103" i="9"/>
  <c r="L103" i="9"/>
  <c r="M103" i="9"/>
  <c r="G104" i="9"/>
  <c r="H104" i="9"/>
  <c r="I104" i="9"/>
  <c r="J104" i="9"/>
  <c r="K104" i="9"/>
  <c r="L104" i="9"/>
  <c r="M104" i="9"/>
  <c r="G105" i="9"/>
  <c r="H105" i="9"/>
  <c r="I105" i="9"/>
  <c r="J105" i="9"/>
  <c r="K105" i="9"/>
  <c r="L105" i="9"/>
  <c r="M105" i="9"/>
  <c r="G106" i="9"/>
  <c r="H106" i="9"/>
  <c r="I106" i="9"/>
  <c r="J106" i="9"/>
  <c r="K106" i="9"/>
  <c r="L106" i="9"/>
  <c r="M106" i="9"/>
  <c r="G108" i="9"/>
  <c r="H108" i="9"/>
  <c r="I108" i="9"/>
  <c r="J108" i="9"/>
  <c r="K108" i="9"/>
  <c r="L108" i="9"/>
  <c r="M108" i="9"/>
  <c r="G109" i="9"/>
  <c r="H109" i="9"/>
  <c r="I109" i="9"/>
  <c r="J109" i="9"/>
  <c r="K109" i="9"/>
  <c r="L109" i="9"/>
  <c r="M109" i="9"/>
  <c r="G110" i="9"/>
  <c r="H110" i="9"/>
  <c r="I110" i="9"/>
  <c r="J110" i="9"/>
  <c r="K110" i="9"/>
  <c r="L110" i="9"/>
  <c r="M110" i="9"/>
  <c r="G111" i="9"/>
  <c r="H111" i="9"/>
  <c r="I111" i="9"/>
  <c r="J111" i="9"/>
  <c r="K111" i="9"/>
  <c r="L111" i="9"/>
  <c r="M111" i="9"/>
  <c r="G112" i="9"/>
  <c r="H112" i="9"/>
  <c r="I112" i="9"/>
  <c r="J112" i="9"/>
  <c r="K112" i="9"/>
  <c r="L112" i="9"/>
  <c r="M112" i="9"/>
  <c r="G113" i="9"/>
  <c r="H113" i="9"/>
  <c r="I113" i="9"/>
  <c r="J113" i="9"/>
  <c r="K113" i="9"/>
  <c r="L113" i="9"/>
  <c r="M113" i="9"/>
  <c r="G114" i="9"/>
  <c r="H114" i="9"/>
  <c r="I114" i="9"/>
  <c r="J114" i="9"/>
  <c r="K114" i="9"/>
  <c r="L114" i="9"/>
  <c r="M114" i="9"/>
  <c r="G115" i="9"/>
  <c r="H115" i="9"/>
  <c r="I115" i="9"/>
  <c r="J115" i="9"/>
  <c r="K115" i="9"/>
  <c r="L115" i="9"/>
  <c r="M115" i="9"/>
  <c r="G116" i="9"/>
  <c r="H116" i="9"/>
  <c r="I116" i="9"/>
  <c r="J116" i="9"/>
  <c r="K116" i="9"/>
  <c r="L116" i="9"/>
  <c r="M116" i="9"/>
  <c r="G117" i="9"/>
  <c r="H117" i="9"/>
  <c r="I117" i="9"/>
  <c r="J117" i="9"/>
  <c r="K117" i="9"/>
  <c r="L117" i="9"/>
  <c r="M117" i="9"/>
  <c r="G5" i="25"/>
  <c r="H5" i="25"/>
  <c r="I5" i="25"/>
  <c r="J5" i="25"/>
  <c r="K5" i="25"/>
  <c r="L5" i="25"/>
  <c r="M5" i="25"/>
  <c r="G6" i="25"/>
  <c r="H6" i="25"/>
  <c r="I6" i="25"/>
  <c r="J6" i="25"/>
  <c r="K6" i="25"/>
  <c r="L6" i="25"/>
  <c r="M6" i="25"/>
  <c r="G7" i="25"/>
  <c r="H7" i="25"/>
  <c r="I7" i="25"/>
  <c r="J7" i="25"/>
  <c r="K7" i="25"/>
  <c r="L7" i="25"/>
  <c r="M7" i="25"/>
  <c r="G8" i="25"/>
  <c r="H8" i="25"/>
  <c r="I8" i="25"/>
  <c r="J8" i="25"/>
  <c r="K8" i="25"/>
  <c r="L8" i="25"/>
  <c r="M8" i="25"/>
  <c r="G10" i="25"/>
  <c r="H10" i="25"/>
  <c r="I10" i="25"/>
  <c r="J10" i="25"/>
  <c r="K10" i="25"/>
  <c r="L10" i="25"/>
  <c r="M10" i="25"/>
  <c r="G11" i="25"/>
  <c r="H11" i="25"/>
  <c r="I11" i="25"/>
  <c r="J11" i="25"/>
  <c r="K11" i="25"/>
  <c r="L11" i="25"/>
  <c r="M11" i="25"/>
  <c r="G12" i="25"/>
  <c r="H12" i="25"/>
  <c r="I12" i="25"/>
  <c r="J12" i="25"/>
  <c r="K12" i="25"/>
  <c r="L12" i="25"/>
  <c r="M12" i="25"/>
  <c r="G13" i="25"/>
  <c r="H13" i="25"/>
  <c r="I13" i="25"/>
  <c r="J13" i="25"/>
  <c r="K13" i="25"/>
  <c r="L13" i="25"/>
  <c r="M13" i="25"/>
  <c r="G18" i="25"/>
  <c r="H18" i="25"/>
  <c r="I18" i="25"/>
  <c r="J18" i="25"/>
  <c r="K18" i="25"/>
  <c r="L18" i="25"/>
  <c r="M18" i="25"/>
  <c r="G19" i="25"/>
  <c r="H19" i="25"/>
  <c r="I19" i="25"/>
  <c r="J19" i="25"/>
  <c r="K19" i="25"/>
  <c r="L19" i="25"/>
  <c r="M19" i="25"/>
  <c r="G20" i="25"/>
  <c r="H20" i="25"/>
  <c r="I20" i="25"/>
  <c r="J20" i="25"/>
  <c r="K20" i="25"/>
  <c r="L20" i="25"/>
  <c r="M20" i="25"/>
  <c r="G21" i="25"/>
  <c r="H21" i="25"/>
  <c r="I21" i="25"/>
  <c r="J21" i="25"/>
  <c r="K21" i="25"/>
  <c r="L21" i="25"/>
  <c r="M21" i="25"/>
  <c r="G22" i="25"/>
  <c r="H22" i="25"/>
  <c r="I22" i="25"/>
  <c r="J22" i="25"/>
  <c r="K22" i="25"/>
  <c r="L22" i="25"/>
  <c r="M22" i="25"/>
  <c r="G23" i="25"/>
  <c r="H23" i="25"/>
  <c r="I23" i="25"/>
  <c r="J23" i="25"/>
  <c r="K23" i="25"/>
  <c r="L23" i="25"/>
  <c r="M23" i="25"/>
  <c r="G24" i="25"/>
  <c r="H24" i="25"/>
  <c r="I24" i="25"/>
  <c r="J24" i="25"/>
  <c r="K24" i="25"/>
  <c r="L24" i="25"/>
  <c r="M24" i="25"/>
  <c r="G25" i="25"/>
  <c r="H25" i="25"/>
  <c r="I25" i="25"/>
  <c r="J25" i="25"/>
  <c r="K25" i="25"/>
  <c r="L25" i="25"/>
  <c r="M25" i="25"/>
  <c r="G28" i="25"/>
  <c r="H28" i="25"/>
  <c r="I28" i="25"/>
  <c r="J28" i="25"/>
  <c r="K28" i="25"/>
  <c r="L28" i="25"/>
  <c r="M28" i="25"/>
  <c r="G29" i="25"/>
  <c r="H29" i="25"/>
  <c r="I29" i="25"/>
  <c r="J29" i="25"/>
  <c r="K29" i="25"/>
  <c r="L29" i="25"/>
  <c r="M29" i="25"/>
  <c r="G30" i="25"/>
  <c r="H30" i="25"/>
  <c r="I30" i="25"/>
  <c r="J30" i="25"/>
  <c r="K30" i="25"/>
  <c r="L30" i="25"/>
  <c r="M30" i="25"/>
  <c r="G31" i="25"/>
  <c r="H31" i="25"/>
  <c r="I31" i="25"/>
  <c r="J31" i="25"/>
  <c r="K31" i="25"/>
  <c r="L31" i="25"/>
  <c r="M31" i="25"/>
  <c r="G32" i="25"/>
  <c r="H32" i="25"/>
  <c r="I32" i="25"/>
  <c r="J32" i="25"/>
  <c r="K32" i="25"/>
  <c r="L32" i="25"/>
  <c r="M32" i="25"/>
  <c r="G33" i="25"/>
  <c r="H33" i="25"/>
  <c r="I33" i="25"/>
  <c r="J33" i="25"/>
  <c r="K33" i="25"/>
  <c r="L33" i="25"/>
  <c r="M33" i="25"/>
  <c r="G34" i="25"/>
  <c r="H34" i="25"/>
  <c r="I34" i="25"/>
  <c r="J34" i="25"/>
  <c r="K34" i="25"/>
  <c r="L34" i="25"/>
  <c r="M34" i="25"/>
  <c r="G36" i="25"/>
  <c r="H36" i="25"/>
  <c r="I36" i="25"/>
  <c r="J36" i="25"/>
  <c r="K36" i="25"/>
  <c r="L36" i="25"/>
  <c r="M36" i="25"/>
  <c r="G37" i="25"/>
  <c r="H37" i="25"/>
  <c r="I37" i="25"/>
  <c r="J37" i="25"/>
  <c r="K37" i="25"/>
  <c r="L37" i="25"/>
  <c r="M37" i="25"/>
  <c r="G38" i="25"/>
  <c r="H38" i="25"/>
  <c r="I38" i="25"/>
  <c r="J38" i="25"/>
  <c r="K38" i="25"/>
  <c r="L38" i="25"/>
  <c r="M38" i="25"/>
  <c r="G39" i="25"/>
  <c r="H39" i="25"/>
  <c r="I39" i="25"/>
  <c r="J39" i="25"/>
  <c r="K39" i="25"/>
  <c r="L39" i="25"/>
  <c r="M39" i="25"/>
  <c r="G40" i="25"/>
  <c r="H40" i="25"/>
  <c r="I40" i="25"/>
  <c r="J40" i="25"/>
  <c r="K40" i="25"/>
  <c r="L40" i="25"/>
  <c r="M40" i="25"/>
  <c r="G41" i="25"/>
  <c r="H41" i="25"/>
  <c r="I41" i="25"/>
  <c r="J41" i="25"/>
  <c r="K41" i="25"/>
  <c r="L41" i="25"/>
  <c r="M41" i="25"/>
  <c r="G42" i="25"/>
  <c r="H42" i="25"/>
  <c r="I42" i="25"/>
  <c r="J42" i="25"/>
  <c r="K42" i="25"/>
  <c r="L42" i="25"/>
  <c r="M42" i="25"/>
  <c r="G43" i="25"/>
  <c r="H43" i="25"/>
  <c r="I43" i="25"/>
  <c r="J43" i="25"/>
  <c r="K43" i="25"/>
  <c r="L43" i="25"/>
  <c r="M43" i="25"/>
  <c r="G44" i="25"/>
  <c r="H44" i="25"/>
  <c r="I44" i="25"/>
  <c r="J44" i="25"/>
  <c r="K44" i="25"/>
  <c r="L44" i="25"/>
  <c r="M44" i="25"/>
  <c r="G45" i="25"/>
  <c r="H45" i="25"/>
  <c r="I45" i="25"/>
  <c r="J45" i="25"/>
  <c r="K45" i="25"/>
  <c r="L45" i="25"/>
  <c r="M45" i="25"/>
  <c r="G47" i="25"/>
  <c r="H47" i="25"/>
  <c r="I47" i="25"/>
  <c r="J47" i="25"/>
  <c r="K47" i="25"/>
  <c r="L47" i="25"/>
  <c r="M47" i="25"/>
  <c r="G48" i="25"/>
  <c r="H48" i="25"/>
  <c r="I48" i="25"/>
  <c r="J48" i="25"/>
  <c r="K48" i="25"/>
  <c r="L48" i="25"/>
  <c r="M48" i="25"/>
  <c r="G49" i="25"/>
  <c r="H49" i="25"/>
  <c r="I49" i="25"/>
  <c r="J49" i="25"/>
  <c r="K49" i="25"/>
  <c r="L49" i="25"/>
  <c r="M49" i="25"/>
  <c r="G50" i="25"/>
  <c r="H50" i="25"/>
  <c r="I50" i="25"/>
  <c r="J50" i="25"/>
  <c r="K50" i="25"/>
  <c r="L50" i="25"/>
  <c r="M50" i="25"/>
  <c r="G51" i="25"/>
  <c r="H51" i="25"/>
  <c r="I51" i="25"/>
  <c r="J51" i="25"/>
  <c r="K51" i="25"/>
  <c r="L51" i="25"/>
  <c r="M51" i="25"/>
  <c r="G52" i="25"/>
  <c r="H52" i="25"/>
  <c r="I52" i="25"/>
  <c r="J52" i="25"/>
  <c r="K52" i="25"/>
  <c r="L52" i="25"/>
  <c r="M52" i="25"/>
  <c r="G53" i="25"/>
  <c r="H53" i="25"/>
  <c r="I53" i="25"/>
  <c r="J53" i="25"/>
  <c r="K53" i="25"/>
  <c r="L53" i="25"/>
  <c r="M53" i="25"/>
  <c r="G54" i="25"/>
  <c r="H54" i="25"/>
  <c r="I54" i="25"/>
  <c r="J54" i="25"/>
  <c r="K54" i="25"/>
  <c r="L54" i="25"/>
  <c r="M54" i="25"/>
  <c r="G55" i="25"/>
  <c r="H55" i="25"/>
  <c r="I55" i="25"/>
  <c r="J55" i="25"/>
  <c r="K55" i="25"/>
  <c r="L55" i="25"/>
  <c r="M55" i="25"/>
  <c r="G5" i="4"/>
  <c r="H5" i="4"/>
  <c r="I5" i="4"/>
  <c r="J5" i="4"/>
  <c r="K5" i="4"/>
  <c r="L5" i="4"/>
  <c r="M5" i="4"/>
  <c r="G9" i="4"/>
  <c r="H9" i="4"/>
  <c r="I9" i="4"/>
  <c r="J9" i="4"/>
  <c r="K9" i="4"/>
  <c r="L9" i="4"/>
  <c r="M9" i="4"/>
  <c r="G10" i="4"/>
  <c r="H10" i="4"/>
  <c r="I10" i="4"/>
  <c r="J10" i="4"/>
  <c r="K10" i="4"/>
  <c r="L10" i="4"/>
  <c r="M10" i="4"/>
  <c r="G12" i="4"/>
  <c r="H12" i="4"/>
  <c r="I12" i="4"/>
  <c r="J12" i="4"/>
  <c r="K12" i="4"/>
  <c r="L12" i="4"/>
  <c r="M12" i="4"/>
  <c r="G15" i="4"/>
  <c r="H15" i="4"/>
  <c r="I15" i="4"/>
  <c r="J15" i="4"/>
  <c r="K15" i="4"/>
  <c r="L15" i="4"/>
  <c r="M15" i="4"/>
  <c r="G16" i="4"/>
  <c r="H16" i="4"/>
  <c r="I16" i="4"/>
  <c r="J16" i="4"/>
  <c r="K16" i="4"/>
  <c r="L16" i="4"/>
  <c r="M16" i="4"/>
  <c r="G17" i="4"/>
  <c r="H17" i="4"/>
  <c r="I17" i="4"/>
  <c r="J17" i="4"/>
  <c r="K17" i="4"/>
  <c r="L17" i="4"/>
  <c r="M17" i="4"/>
  <c r="G18" i="4"/>
  <c r="H18" i="4"/>
  <c r="I18" i="4"/>
  <c r="J18" i="4"/>
  <c r="K18" i="4"/>
  <c r="L18" i="4"/>
  <c r="M18" i="4"/>
  <c r="G23" i="4"/>
  <c r="H23" i="4"/>
  <c r="I23" i="4"/>
  <c r="J23" i="4"/>
  <c r="K23" i="4"/>
  <c r="L23" i="4"/>
  <c r="M23" i="4"/>
  <c r="G24" i="4"/>
  <c r="H24" i="4"/>
  <c r="I24" i="4"/>
  <c r="J24" i="4"/>
  <c r="K24" i="4"/>
  <c r="L24" i="4"/>
  <c r="M24" i="4"/>
  <c r="G25" i="4"/>
  <c r="H25" i="4"/>
  <c r="I25" i="4"/>
  <c r="J25" i="4"/>
  <c r="K25" i="4"/>
  <c r="L25" i="4"/>
  <c r="M25" i="4"/>
  <c r="G26" i="4"/>
  <c r="H26" i="4"/>
  <c r="I26" i="4"/>
  <c r="J26" i="4"/>
  <c r="K26" i="4"/>
  <c r="L26" i="4"/>
  <c r="M26" i="4"/>
  <c r="G27" i="4"/>
  <c r="H27" i="4"/>
  <c r="I27" i="4"/>
  <c r="J27" i="4"/>
  <c r="K27" i="4"/>
  <c r="L27" i="4"/>
  <c r="M27" i="4"/>
  <c r="G28" i="4"/>
  <c r="H28" i="4"/>
  <c r="I28" i="4"/>
  <c r="J28" i="4"/>
  <c r="K28" i="4"/>
  <c r="L28" i="4"/>
  <c r="M28" i="4"/>
  <c r="G29" i="4"/>
  <c r="H29" i="4"/>
  <c r="I29" i="4"/>
  <c r="J29" i="4"/>
  <c r="K29" i="4"/>
  <c r="L29" i="4"/>
  <c r="M29" i="4"/>
  <c r="G30" i="4"/>
  <c r="H30" i="4"/>
  <c r="I30" i="4"/>
  <c r="J30" i="4"/>
  <c r="K30" i="4"/>
  <c r="L30" i="4"/>
  <c r="M30" i="4"/>
  <c r="G31" i="4"/>
  <c r="H31" i="4"/>
  <c r="I31" i="4"/>
  <c r="J31" i="4"/>
  <c r="K31" i="4"/>
  <c r="L31" i="4"/>
  <c r="M31" i="4"/>
  <c r="G32" i="4"/>
  <c r="H32" i="4"/>
  <c r="I32" i="4"/>
  <c r="J32" i="4"/>
  <c r="K32" i="4"/>
  <c r="L32" i="4"/>
  <c r="M32" i="4"/>
  <c r="G33" i="4"/>
  <c r="H33" i="4"/>
  <c r="I33" i="4"/>
  <c r="J33" i="4"/>
  <c r="K33" i="4"/>
  <c r="L33" i="4"/>
  <c r="M33" i="4"/>
  <c r="G34" i="4"/>
  <c r="H34" i="4"/>
  <c r="I34" i="4"/>
  <c r="J34" i="4"/>
  <c r="K34" i="4"/>
  <c r="L34" i="4"/>
  <c r="M34" i="4"/>
  <c r="G35" i="4"/>
  <c r="H35" i="4"/>
  <c r="I35" i="4"/>
  <c r="J35" i="4"/>
  <c r="K35" i="4"/>
  <c r="L35" i="4"/>
  <c r="M35" i="4"/>
  <c r="G36" i="4"/>
  <c r="H36" i="4"/>
  <c r="I36" i="4"/>
  <c r="J36" i="4"/>
  <c r="K36" i="4"/>
  <c r="L36" i="4"/>
  <c r="M36" i="4"/>
  <c r="G37" i="4"/>
  <c r="H37" i="4"/>
  <c r="I37" i="4"/>
  <c r="J37" i="4"/>
  <c r="K37" i="4"/>
  <c r="L37" i="4"/>
  <c r="M37" i="4"/>
  <c r="G38" i="4"/>
  <c r="H38" i="4"/>
  <c r="I38" i="4"/>
  <c r="J38" i="4"/>
  <c r="K38" i="4"/>
  <c r="L38" i="4"/>
  <c r="M38" i="4"/>
  <c r="G40" i="4"/>
  <c r="H40" i="4"/>
  <c r="I40" i="4"/>
  <c r="J40" i="4"/>
  <c r="K40" i="4"/>
  <c r="L40" i="4"/>
  <c r="M40" i="4"/>
  <c r="G41" i="4"/>
  <c r="H41" i="4"/>
  <c r="I41" i="4"/>
  <c r="J41" i="4"/>
  <c r="K41" i="4"/>
  <c r="L41" i="4"/>
  <c r="M41" i="4"/>
  <c r="G42" i="4"/>
  <c r="H42" i="4"/>
  <c r="I42" i="4"/>
  <c r="J42" i="4"/>
  <c r="K42" i="4"/>
  <c r="L42" i="4"/>
  <c r="M42" i="4"/>
  <c r="G43" i="4"/>
  <c r="H43" i="4"/>
  <c r="I43" i="4"/>
  <c r="J43" i="4"/>
  <c r="K43" i="4"/>
  <c r="L43" i="4"/>
  <c r="M43" i="4"/>
  <c r="G44" i="4"/>
  <c r="H44" i="4"/>
  <c r="I44" i="4"/>
  <c r="J44" i="4"/>
  <c r="K44" i="4"/>
  <c r="L44" i="4"/>
  <c r="M44" i="4"/>
  <c r="G45" i="4"/>
  <c r="H45" i="4"/>
  <c r="I45" i="4"/>
  <c r="J45" i="4"/>
  <c r="K45" i="4"/>
  <c r="L45" i="4"/>
  <c r="M45" i="4"/>
  <c r="G46" i="4"/>
  <c r="H46" i="4"/>
  <c r="I46" i="4"/>
  <c r="J46" i="4"/>
  <c r="K46" i="4"/>
  <c r="L46" i="4"/>
  <c r="M46" i="4"/>
  <c r="G47" i="4"/>
  <c r="H47" i="4"/>
  <c r="I47" i="4"/>
  <c r="J47" i="4"/>
  <c r="K47" i="4"/>
  <c r="L47" i="4"/>
  <c r="M47" i="4"/>
  <c r="G48" i="4"/>
  <c r="H48" i="4"/>
  <c r="I48" i="4"/>
  <c r="J48" i="4"/>
  <c r="K48" i="4"/>
  <c r="L48" i="4"/>
  <c r="M48" i="4"/>
  <c r="G49" i="4"/>
  <c r="H49" i="4"/>
  <c r="I49" i="4"/>
  <c r="J49" i="4"/>
  <c r="K49" i="4"/>
  <c r="L49" i="4"/>
  <c r="M49" i="4"/>
  <c r="G50" i="4"/>
  <c r="H50" i="4"/>
  <c r="I50" i="4"/>
  <c r="J50" i="4"/>
  <c r="K50" i="4"/>
  <c r="L50" i="4"/>
  <c r="M50" i="4"/>
  <c r="G52" i="4"/>
  <c r="H52" i="4"/>
  <c r="I52" i="4"/>
  <c r="J52" i="4"/>
  <c r="K52" i="4"/>
  <c r="L52" i="4"/>
  <c r="M52" i="4"/>
  <c r="G54" i="4"/>
  <c r="H54" i="4"/>
  <c r="I54" i="4"/>
  <c r="J54" i="4"/>
  <c r="K54" i="4"/>
  <c r="L54" i="4"/>
  <c r="M54" i="4"/>
  <c r="G56" i="4"/>
  <c r="H56" i="4"/>
  <c r="I56" i="4"/>
  <c r="J56" i="4"/>
  <c r="K56" i="4"/>
  <c r="L56" i="4"/>
  <c r="M56" i="4"/>
  <c r="G59" i="4"/>
  <c r="H59" i="4"/>
  <c r="I59" i="4"/>
  <c r="J59" i="4"/>
  <c r="K59" i="4"/>
  <c r="L59" i="4"/>
  <c r="M59" i="4"/>
  <c r="G60" i="4"/>
  <c r="H60" i="4"/>
  <c r="I60" i="4"/>
  <c r="J60" i="4"/>
  <c r="K60" i="4"/>
  <c r="L60" i="4"/>
  <c r="M60" i="4"/>
  <c r="G61" i="4"/>
  <c r="H61" i="4"/>
  <c r="I61" i="4"/>
  <c r="J61" i="4"/>
  <c r="K61" i="4"/>
  <c r="L61" i="4"/>
  <c r="M61" i="4"/>
  <c r="G65" i="4"/>
  <c r="H65" i="4"/>
  <c r="I65" i="4"/>
  <c r="J65" i="4"/>
  <c r="K65" i="4"/>
  <c r="L65" i="4"/>
  <c r="M65" i="4"/>
  <c r="G66" i="4"/>
  <c r="H66" i="4"/>
  <c r="I66" i="4"/>
  <c r="J66" i="4"/>
  <c r="K66" i="4"/>
  <c r="L66" i="4"/>
  <c r="M66" i="4"/>
  <c r="G67" i="4"/>
  <c r="H67" i="4"/>
  <c r="I67" i="4"/>
  <c r="J67" i="4"/>
  <c r="K67" i="4"/>
  <c r="L67" i="4"/>
  <c r="M67" i="4"/>
  <c r="G68" i="4"/>
  <c r="H68" i="4"/>
  <c r="I68" i="4"/>
  <c r="J68" i="4"/>
  <c r="K68" i="4"/>
  <c r="L68" i="4"/>
  <c r="M68" i="4"/>
  <c r="G69" i="4"/>
  <c r="H69" i="4"/>
  <c r="I69" i="4"/>
  <c r="J69" i="4"/>
  <c r="K69" i="4"/>
  <c r="L69" i="4"/>
  <c r="M69" i="4"/>
  <c r="G71" i="4"/>
  <c r="H71" i="4"/>
  <c r="I71" i="4"/>
  <c r="J71" i="4"/>
  <c r="K71" i="4"/>
  <c r="L71" i="4"/>
  <c r="M71" i="4"/>
  <c r="G72" i="4"/>
  <c r="H72" i="4"/>
  <c r="I72" i="4"/>
  <c r="J72" i="4"/>
  <c r="K72" i="4"/>
  <c r="L72" i="4"/>
  <c r="M72" i="4"/>
  <c r="G76" i="4"/>
  <c r="H76" i="4"/>
  <c r="I76" i="4"/>
  <c r="J76" i="4"/>
  <c r="K76" i="4"/>
  <c r="L76" i="4"/>
  <c r="M76" i="4"/>
  <c r="G77" i="4"/>
  <c r="H77" i="4"/>
  <c r="I77" i="4"/>
  <c r="J77" i="4"/>
  <c r="K77" i="4"/>
  <c r="L77" i="4"/>
  <c r="M77" i="4"/>
  <c r="G78" i="4"/>
  <c r="H78" i="4"/>
  <c r="I78" i="4"/>
  <c r="J78" i="4"/>
  <c r="K78" i="4"/>
  <c r="L78" i="4"/>
  <c r="M78" i="4"/>
  <c r="G79" i="4"/>
  <c r="H79" i="4"/>
  <c r="I79" i="4"/>
  <c r="J79" i="4"/>
  <c r="K79" i="4"/>
  <c r="L79" i="4"/>
  <c r="M79" i="4"/>
  <c r="G80" i="4"/>
  <c r="H80" i="4"/>
  <c r="I80" i="4"/>
  <c r="J80" i="4"/>
  <c r="K80" i="4"/>
  <c r="L80" i="4"/>
  <c r="M80" i="4"/>
  <c r="G82" i="4"/>
  <c r="H82" i="4"/>
  <c r="I82" i="4"/>
  <c r="J82" i="4"/>
  <c r="K82" i="4"/>
  <c r="L82" i="4"/>
  <c r="M82" i="4"/>
  <c r="G83" i="4"/>
  <c r="H83" i="4"/>
  <c r="I83" i="4"/>
  <c r="J83" i="4"/>
  <c r="K83" i="4"/>
  <c r="L83" i="4"/>
  <c r="M83" i="4"/>
  <c r="G84" i="4"/>
  <c r="H84" i="4"/>
  <c r="I84" i="4"/>
  <c r="J84" i="4"/>
  <c r="K84" i="4"/>
  <c r="L84" i="4"/>
  <c r="M84" i="4"/>
  <c r="G85" i="4"/>
  <c r="H85" i="4"/>
  <c r="I85" i="4"/>
  <c r="J85" i="4"/>
  <c r="K85" i="4"/>
  <c r="L85" i="4"/>
  <c r="M85" i="4"/>
  <c r="G86" i="4"/>
  <c r="H86" i="4"/>
  <c r="I86" i="4"/>
  <c r="J86" i="4"/>
  <c r="K86" i="4"/>
  <c r="L86" i="4"/>
  <c r="M86" i="4"/>
  <c r="G87" i="4"/>
  <c r="H87" i="4"/>
  <c r="I87" i="4"/>
  <c r="J87" i="4"/>
  <c r="K87" i="4"/>
  <c r="L87" i="4"/>
  <c r="M87" i="4"/>
  <c r="G89" i="4"/>
  <c r="H89" i="4"/>
  <c r="I89" i="4"/>
  <c r="J89" i="4"/>
  <c r="K89" i="4"/>
  <c r="L89" i="4"/>
  <c r="M89" i="4"/>
  <c r="G90" i="4"/>
  <c r="H90" i="4"/>
  <c r="I90" i="4"/>
  <c r="J90" i="4"/>
  <c r="K90" i="4"/>
  <c r="L90" i="4"/>
  <c r="M90" i="4"/>
  <c r="G91" i="4"/>
  <c r="H91" i="4"/>
  <c r="I91" i="4"/>
  <c r="J91" i="4"/>
  <c r="K91" i="4"/>
  <c r="L91" i="4"/>
  <c r="M91" i="4"/>
  <c r="G92" i="4"/>
  <c r="H92" i="4"/>
  <c r="I92" i="4"/>
  <c r="J92" i="4"/>
  <c r="K92" i="4"/>
  <c r="L92" i="4"/>
  <c r="M92" i="4"/>
  <c r="G93" i="4"/>
  <c r="H93" i="4"/>
  <c r="I93" i="4"/>
  <c r="J93" i="4"/>
  <c r="K93" i="4"/>
  <c r="L93" i="4"/>
  <c r="M93" i="4"/>
  <c r="G94" i="4"/>
  <c r="H94" i="4"/>
  <c r="I94" i="4"/>
  <c r="J94" i="4"/>
  <c r="K94" i="4"/>
  <c r="L94" i="4"/>
  <c r="M94" i="4"/>
  <c r="G95" i="4"/>
  <c r="H95" i="4"/>
  <c r="I95" i="4"/>
  <c r="J95" i="4"/>
  <c r="K95" i="4"/>
  <c r="L95" i="4"/>
  <c r="M95" i="4"/>
  <c r="G96" i="4"/>
  <c r="H96" i="4"/>
  <c r="I96" i="4"/>
  <c r="J96" i="4"/>
  <c r="K96" i="4"/>
  <c r="L96" i="4"/>
  <c r="M96" i="4"/>
  <c r="G97" i="4"/>
  <c r="H97" i="4"/>
  <c r="I97" i="4"/>
  <c r="J97" i="4"/>
  <c r="K97" i="4"/>
  <c r="L97" i="4"/>
  <c r="M97" i="4"/>
  <c r="G98" i="4"/>
  <c r="H98" i="4"/>
  <c r="I98" i="4"/>
  <c r="J98" i="4"/>
  <c r="K98" i="4"/>
  <c r="L98" i="4"/>
  <c r="M98" i="4"/>
  <c r="G100" i="4"/>
  <c r="H100" i="4"/>
  <c r="I100" i="4"/>
  <c r="J100" i="4"/>
  <c r="K100" i="4"/>
  <c r="L100" i="4"/>
  <c r="M100" i="4"/>
  <c r="G101" i="4"/>
  <c r="H101" i="4"/>
  <c r="I101" i="4"/>
  <c r="J101" i="4"/>
  <c r="K101" i="4"/>
  <c r="L101" i="4"/>
  <c r="M101" i="4"/>
  <c r="G102" i="4"/>
  <c r="H102" i="4"/>
  <c r="I102" i="4"/>
  <c r="J102" i="4"/>
  <c r="K102" i="4"/>
  <c r="L102" i="4"/>
  <c r="M102" i="4"/>
  <c r="G103" i="4"/>
  <c r="H103" i="4"/>
  <c r="I103" i="4"/>
  <c r="J103" i="4"/>
  <c r="K103" i="4"/>
  <c r="L103" i="4"/>
  <c r="M103" i="4"/>
  <c r="G104" i="4"/>
  <c r="H104" i="4"/>
  <c r="I104" i="4"/>
  <c r="J104" i="4"/>
  <c r="K104" i="4"/>
  <c r="L104" i="4"/>
  <c r="M104" i="4"/>
  <c r="G108" i="4"/>
  <c r="H108" i="4"/>
  <c r="I108" i="4"/>
  <c r="J108" i="4"/>
  <c r="K108" i="4"/>
  <c r="L108" i="4"/>
  <c r="M108" i="4"/>
  <c r="G109" i="4"/>
  <c r="H109" i="4"/>
  <c r="I109" i="4"/>
  <c r="J109" i="4"/>
  <c r="K109" i="4"/>
  <c r="L109" i="4"/>
  <c r="M109" i="4"/>
  <c r="G111" i="4"/>
  <c r="H111" i="4"/>
  <c r="I111" i="4"/>
  <c r="J111" i="4"/>
  <c r="K111" i="4"/>
  <c r="L111" i="4"/>
  <c r="M111" i="4"/>
  <c r="G112" i="4"/>
  <c r="H112" i="4"/>
  <c r="I112" i="4"/>
  <c r="J112" i="4"/>
  <c r="K112" i="4"/>
  <c r="L112" i="4"/>
  <c r="M112" i="4"/>
  <c r="G121" i="4"/>
  <c r="H121" i="4"/>
  <c r="I121" i="4"/>
  <c r="J121" i="4"/>
  <c r="K121" i="4"/>
  <c r="L121" i="4"/>
  <c r="M121" i="4"/>
  <c r="G122" i="4"/>
  <c r="H122" i="4"/>
  <c r="I122" i="4"/>
  <c r="J122" i="4"/>
  <c r="K122" i="4"/>
  <c r="L122" i="4"/>
  <c r="M122" i="4"/>
  <c r="G174" i="4"/>
  <c r="H174" i="4"/>
  <c r="I174" i="4"/>
  <c r="J174" i="4"/>
  <c r="K174" i="4"/>
  <c r="L174" i="4"/>
  <c r="M174" i="4"/>
  <c r="G177" i="4"/>
  <c r="H177" i="4"/>
  <c r="I177" i="4"/>
  <c r="J177" i="4"/>
  <c r="K177" i="4"/>
  <c r="L177" i="4"/>
  <c r="M177" i="4"/>
  <c r="G178" i="4"/>
  <c r="H178" i="4"/>
  <c r="I178" i="4"/>
  <c r="J178" i="4"/>
  <c r="K178" i="4"/>
  <c r="L178" i="4"/>
  <c r="M178" i="4"/>
  <c r="G183" i="4"/>
  <c r="H183" i="4"/>
  <c r="I183" i="4"/>
  <c r="J183" i="4"/>
  <c r="K183" i="4"/>
  <c r="L183" i="4"/>
  <c r="M183" i="4"/>
  <c r="G184" i="4"/>
  <c r="H184" i="4"/>
  <c r="I184" i="4"/>
  <c r="J184" i="4"/>
  <c r="K184" i="4"/>
  <c r="L184" i="4"/>
  <c r="M184" i="4"/>
  <c r="G185" i="4"/>
  <c r="H185" i="4"/>
  <c r="I185" i="4"/>
  <c r="J185" i="4"/>
  <c r="K185" i="4"/>
  <c r="L185" i="4"/>
  <c r="M185" i="4"/>
  <c r="G186" i="4"/>
  <c r="H186" i="4"/>
  <c r="I186" i="4"/>
  <c r="J186" i="4"/>
  <c r="K186" i="4"/>
  <c r="L186" i="4"/>
  <c r="M186" i="4"/>
  <c r="G187" i="4"/>
  <c r="H187" i="4"/>
  <c r="I187" i="4"/>
  <c r="J187" i="4"/>
  <c r="K187" i="4"/>
  <c r="L187" i="4"/>
  <c r="M187" i="4"/>
  <c r="G188" i="4"/>
  <c r="H188" i="4"/>
  <c r="I188" i="4"/>
  <c r="J188" i="4"/>
  <c r="K188" i="4"/>
  <c r="L188" i="4"/>
  <c r="M188" i="4"/>
  <c r="G189" i="4"/>
  <c r="H189" i="4"/>
  <c r="I189" i="4"/>
  <c r="J189" i="4"/>
  <c r="K189" i="4"/>
  <c r="L189" i="4"/>
  <c r="M189" i="4"/>
  <c r="G190" i="4"/>
  <c r="H190" i="4"/>
  <c r="I190" i="4"/>
  <c r="J190" i="4"/>
  <c r="K190" i="4"/>
  <c r="L190" i="4"/>
  <c r="M190" i="4"/>
  <c r="G192" i="4"/>
  <c r="H192" i="4"/>
  <c r="I192" i="4"/>
  <c r="J192" i="4"/>
  <c r="K192" i="4"/>
  <c r="L192" i="4"/>
  <c r="M192" i="4"/>
  <c r="G193" i="4"/>
  <c r="H193" i="4"/>
  <c r="I193" i="4"/>
  <c r="J193" i="4"/>
  <c r="K193" i="4"/>
  <c r="L193" i="4"/>
  <c r="M193" i="4"/>
  <c r="G196" i="4"/>
  <c r="H196" i="4"/>
  <c r="I196" i="4"/>
  <c r="J196" i="4"/>
  <c r="K196" i="4"/>
  <c r="L196" i="4"/>
  <c r="M196" i="4"/>
  <c r="G197" i="4"/>
  <c r="H197" i="4"/>
  <c r="I197" i="4"/>
  <c r="J197" i="4"/>
  <c r="K197" i="4"/>
  <c r="L197" i="4"/>
  <c r="M197" i="4"/>
  <c r="G198" i="4"/>
  <c r="H198" i="4"/>
  <c r="I198" i="4"/>
  <c r="J198" i="4"/>
  <c r="K198" i="4"/>
  <c r="L198" i="4"/>
  <c r="M198" i="4"/>
  <c r="G199" i="4"/>
  <c r="H199" i="4"/>
  <c r="I199" i="4"/>
  <c r="J199" i="4"/>
  <c r="K199" i="4"/>
  <c r="L199" i="4"/>
  <c r="M199" i="4"/>
  <c r="G200" i="4"/>
  <c r="H200" i="4"/>
  <c r="I200" i="4"/>
  <c r="J200" i="4"/>
  <c r="K200" i="4"/>
  <c r="L200" i="4"/>
  <c r="M200" i="4"/>
  <c r="G201" i="4"/>
  <c r="H201" i="4"/>
  <c r="I201" i="4"/>
  <c r="J201" i="4"/>
  <c r="K201" i="4"/>
  <c r="L201" i="4"/>
  <c r="M201" i="4"/>
  <c r="G202" i="4"/>
  <c r="H202" i="4"/>
  <c r="I202" i="4"/>
  <c r="J202" i="4"/>
  <c r="K202" i="4"/>
  <c r="L202" i="4"/>
  <c r="M202" i="4"/>
  <c r="G203" i="4"/>
  <c r="H203" i="4"/>
  <c r="I203" i="4"/>
  <c r="J203" i="4"/>
  <c r="K203" i="4"/>
  <c r="L203" i="4"/>
  <c r="M203" i="4"/>
  <c r="G204" i="4"/>
  <c r="H204" i="4"/>
  <c r="I204" i="4"/>
  <c r="J204" i="4"/>
  <c r="K204" i="4"/>
  <c r="L204" i="4"/>
  <c r="M204" i="4"/>
  <c r="G205" i="4"/>
  <c r="H205" i="4"/>
  <c r="I205" i="4"/>
  <c r="J205" i="4"/>
  <c r="K205" i="4"/>
  <c r="L205" i="4"/>
  <c r="M205" i="4"/>
  <c r="G206" i="4"/>
  <c r="H206" i="4"/>
  <c r="I206" i="4"/>
  <c r="J206" i="4"/>
  <c r="K206" i="4"/>
  <c r="L206" i="4"/>
  <c r="M206" i="4"/>
  <c r="G207" i="4"/>
  <c r="H207" i="4"/>
  <c r="I207" i="4"/>
  <c r="J207" i="4"/>
  <c r="K207" i="4"/>
  <c r="L207" i="4"/>
  <c r="M207" i="4"/>
  <c r="G208" i="4"/>
  <c r="H208" i="4"/>
  <c r="I208" i="4"/>
  <c r="J208" i="4"/>
  <c r="K208" i="4"/>
  <c r="L208" i="4"/>
  <c r="M208" i="4"/>
  <c r="G209" i="4"/>
  <c r="H209" i="4"/>
  <c r="I209" i="4"/>
  <c r="J209" i="4"/>
  <c r="K209" i="4"/>
  <c r="L209" i="4"/>
  <c r="M209" i="4"/>
  <c r="G210" i="4"/>
  <c r="H210" i="4"/>
  <c r="I210" i="4"/>
  <c r="J210" i="4"/>
  <c r="K210" i="4"/>
  <c r="L210" i="4"/>
  <c r="M210" i="4"/>
  <c r="G211" i="4"/>
  <c r="H211" i="4"/>
  <c r="I211" i="4"/>
  <c r="J211" i="4"/>
  <c r="K211" i="4"/>
  <c r="L211" i="4"/>
  <c r="M211" i="4"/>
  <c r="G212" i="4"/>
  <c r="H212" i="4"/>
  <c r="I212" i="4"/>
  <c r="J212" i="4"/>
  <c r="K212" i="4"/>
  <c r="L212" i="4"/>
  <c r="M212" i="4"/>
  <c r="G213" i="4"/>
  <c r="H213" i="4"/>
  <c r="I213" i="4"/>
  <c r="J213" i="4"/>
  <c r="K213" i="4"/>
  <c r="L213" i="4"/>
  <c r="M213" i="4"/>
  <c r="G218" i="4"/>
  <c r="H218" i="4"/>
  <c r="I218" i="4"/>
  <c r="J218" i="4"/>
  <c r="K218" i="4"/>
  <c r="L218" i="4"/>
  <c r="M218" i="4"/>
  <c r="G219" i="4"/>
  <c r="H219" i="4"/>
  <c r="I219" i="4"/>
  <c r="J219" i="4"/>
  <c r="K219" i="4"/>
  <c r="L219" i="4"/>
  <c r="M219" i="4"/>
  <c r="G220" i="4"/>
  <c r="H220" i="4"/>
  <c r="I220" i="4"/>
  <c r="J220" i="4"/>
  <c r="K220" i="4"/>
  <c r="L220" i="4"/>
  <c r="M220" i="4"/>
  <c r="G221" i="4"/>
  <c r="H221" i="4"/>
  <c r="I221" i="4"/>
  <c r="J221" i="4"/>
  <c r="K221" i="4"/>
  <c r="L221" i="4"/>
  <c r="M221" i="4"/>
  <c r="G222" i="4"/>
  <c r="H222" i="4"/>
  <c r="I222" i="4"/>
  <c r="J222" i="4"/>
  <c r="K222" i="4"/>
  <c r="L222" i="4"/>
  <c r="M222" i="4"/>
  <c r="G223" i="4"/>
  <c r="H223" i="4"/>
  <c r="I223" i="4"/>
  <c r="J223" i="4"/>
  <c r="K223" i="4"/>
  <c r="L223" i="4"/>
  <c r="M223" i="4"/>
  <c r="G224" i="4"/>
  <c r="H224" i="4"/>
  <c r="I224" i="4"/>
  <c r="J224" i="4"/>
  <c r="K224" i="4"/>
  <c r="L224" i="4"/>
  <c r="M224" i="4"/>
  <c r="G225" i="4"/>
  <c r="H225" i="4"/>
  <c r="I225" i="4"/>
  <c r="J225" i="4"/>
  <c r="K225" i="4"/>
  <c r="L225" i="4"/>
  <c r="M225" i="4"/>
  <c r="G228" i="4"/>
  <c r="H228" i="4"/>
  <c r="I228" i="4"/>
  <c r="J228" i="4"/>
  <c r="K228" i="4"/>
  <c r="L228" i="4"/>
  <c r="M228" i="4"/>
  <c r="G229" i="4"/>
  <c r="H229" i="4"/>
  <c r="I229" i="4"/>
  <c r="J229" i="4"/>
  <c r="K229" i="4"/>
  <c r="L229" i="4"/>
  <c r="M229" i="4"/>
  <c r="G230" i="4"/>
  <c r="H230" i="4"/>
  <c r="I230" i="4"/>
  <c r="J230" i="4"/>
  <c r="K230" i="4"/>
  <c r="L230" i="4"/>
  <c r="M230" i="4"/>
  <c r="G231" i="4"/>
  <c r="H231" i="4"/>
  <c r="I231" i="4"/>
  <c r="J231" i="4"/>
  <c r="K231" i="4"/>
  <c r="L231" i="4"/>
  <c r="M231" i="4"/>
  <c r="G233" i="4"/>
  <c r="H233" i="4"/>
  <c r="I233" i="4"/>
  <c r="J233" i="4"/>
  <c r="K233" i="4"/>
  <c r="L233" i="4"/>
  <c r="M233" i="4"/>
  <c r="G234" i="4"/>
  <c r="H234" i="4"/>
  <c r="I234" i="4"/>
  <c r="J234" i="4"/>
  <c r="K234" i="4"/>
  <c r="L234" i="4"/>
  <c r="M234" i="4"/>
  <c r="G235" i="4"/>
  <c r="H235" i="4"/>
  <c r="I235" i="4"/>
  <c r="J235" i="4"/>
  <c r="K235" i="4"/>
  <c r="L235" i="4"/>
  <c r="M235" i="4"/>
  <c r="G236" i="4"/>
  <c r="H236" i="4"/>
  <c r="I236" i="4"/>
  <c r="J236" i="4"/>
  <c r="K236" i="4"/>
  <c r="L236" i="4"/>
  <c r="M236" i="4"/>
  <c r="G237" i="4"/>
  <c r="H237" i="4"/>
  <c r="I237" i="4"/>
  <c r="J237" i="4"/>
  <c r="K237" i="4"/>
  <c r="L237" i="4"/>
  <c r="M237" i="4"/>
  <c r="G238" i="4"/>
  <c r="H238" i="4"/>
  <c r="I238" i="4"/>
  <c r="J238" i="4"/>
  <c r="K238" i="4"/>
  <c r="L238" i="4"/>
  <c r="M238" i="4"/>
  <c r="G239" i="4"/>
  <c r="H239" i="4"/>
  <c r="I239" i="4"/>
  <c r="J239" i="4"/>
  <c r="K239" i="4"/>
  <c r="L239" i="4"/>
  <c r="M239" i="4"/>
  <c r="G240" i="4"/>
  <c r="H240" i="4"/>
  <c r="I240" i="4"/>
  <c r="J240" i="4"/>
  <c r="K240" i="4"/>
  <c r="L240" i="4"/>
  <c r="M240" i="4"/>
  <c r="G8" i="14"/>
  <c r="H8" i="14"/>
  <c r="I8" i="14"/>
  <c r="J8" i="14"/>
  <c r="K8" i="14"/>
  <c r="L8" i="14"/>
  <c r="M8" i="14"/>
  <c r="G9" i="14"/>
  <c r="H9" i="14"/>
  <c r="I9" i="14"/>
  <c r="J9" i="14"/>
  <c r="K9" i="14"/>
  <c r="L9" i="14"/>
  <c r="M9" i="14"/>
  <c r="G16" i="14"/>
  <c r="H16" i="14"/>
  <c r="I16" i="14"/>
  <c r="J16" i="14"/>
  <c r="K16" i="14"/>
  <c r="L16" i="14"/>
  <c r="M16" i="14"/>
  <c r="G20" i="14"/>
  <c r="H20" i="14"/>
  <c r="I20" i="14"/>
  <c r="J20" i="14"/>
  <c r="K20" i="14"/>
  <c r="L20" i="14"/>
  <c r="M20" i="14"/>
  <c r="G21" i="14"/>
  <c r="H21" i="14"/>
  <c r="I21" i="14"/>
  <c r="J21" i="14"/>
  <c r="K21" i="14"/>
  <c r="L21" i="14"/>
  <c r="M21" i="14"/>
  <c r="G22" i="14"/>
  <c r="H22" i="14"/>
  <c r="I22" i="14"/>
  <c r="J22" i="14"/>
  <c r="K22" i="14"/>
  <c r="L22" i="14"/>
  <c r="M22" i="14"/>
  <c r="G26" i="14"/>
  <c r="H26" i="14"/>
  <c r="I26" i="14"/>
  <c r="J26" i="14"/>
  <c r="K26" i="14"/>
  <c r="L26" i="14"/>
  <c r="M26" i="14"/>
  <c r="G28" i="14"/>
  <c r="H28" i="14"/>
  <c r="I28" i="14"/>
  <c r="J28" i="14"/>
  <c r="K28" i="14"/>
  <c r="L28" i="14"/>
  <c r="M28" i="14"/>
  <c r="G30" i="14"/>
  <c r="H30" i="14"/>
  <c r="I30" i="14"/>
  <c r="J30" i="14"/>
  <c r="K30" i="14"/>
  <c r="L30" i="14"/>
  <c r="M30" i="14"/>
  <c r="G31" i="14"/>
  <c r="H31" i="14"/>
  <c r="I31" i="14"/>
  <c r="J31" i="14"/>
  <c r="K31" i="14"/>
  <c r="L31" i="14"/>
  <c r="M31" i="14"/>
  <c r="G32" i="14"/>
  <c r="H32" i="14"/>
  <c r="I32" i="14"/>
  <c r="J32" i="14"/>
  <c r="K32" i="14"/>
  <c r="L32" i="14"/>
  <c r="M32" i="14"/>
  <c r="G33" i="14"/>
  <c r="H33" i="14"/>
  <c r="I33" i="14"/>
  <c r="J33" i="14"/>
  <c r="K33" i="14"/>
  <c r="L33" i="14"/>
  <c r="M33" i="14"/>
  <c r="G34" i="14"/>
  <c r="H34" i="14"/>
  <c r="I34" i="14"/>
  <c r="J34" i="14"/>
  <c r="K34" i="14"/>
  <c r="L34" i="14"/>
  <c r="M34" i="14"/>
  <c r="G35" i="14"/>
  <c r="H35" i="14"/>
  <c r="I35" i="14"/>
  <c r="J35" i="14"/>
  <c r="K35" i="14"/>
  <c r="L35" i="14"/>
  <c r="M35" i="14"/>
  <c r="G38" i="14"/>
  <c r="H38" i="14"/>
  <c r="I38" i="14"/>
  <c r="J38" i="14"/>
  <c r="K38" i="14"/>
  <c r="L38" i="14"/>
  <c r="M38" i="14"/>
  <c r="G39" i="14"/>
  <c r="H39" i="14"/>
  <c r="I39" i="14"/>
  <c r="J39" i="14"/>
  <c r="K39" i="14"/>
  <c r="L39" i="14"/>
  <c r="M39" i="14"/>
  <c r="G40" i="14"/>
  <c r="H40" i="14"/>
  <c r="I40" i="14"/>
  <c r="J40" i="14"/>
  <c r="K40" i="14"/>
  <c r="L40" i="14"/>
  <c r="M40" i="14"/>
  <c r="G45" i="14"/>
  <c r="H45" i="14"/>
  <c r="I45" i="14"/>
  <c r="J45" i="14"/>
  <c r="K45" i="14"/>
  <c r="L45" i="14"/>
  <c r="M45" i="14"/>
  <c r="G46" i="14"/>
  <c r="H46" i="14"/>
  <c r="I46" i="14"/>
  <c r="J46" i="14"/>
  <c r="K46" i="14"/>
  <c r="L46" i="14"/>
  <c r="M46" i="14"/>
  <c r="G48" i="14"/>
  <c r="H48" i="14"/>
  <c r="I48" i="14"/>
  <c r="J48" i="14"/>
  <c r="K48" i="14"/>
  <c r="L48" i="14"/>
  <c r="M48" i="14"/>
  <c r="G56" i="14"/>
  <c r="H56" i="14"/>
  <c r="I56" i="14"/>
  <c r="J56" i="14"/>
  <c r="K56" i="14"/>
  <c r="L56" i="14"/>
  <c r="M56" i="14"/>
  <c r="G57" i="14"/>
  <c r="H57" i="14"/>
  <c r="I57" i="14"/>
  <c r="J57" i="14"/>
  <c r="K57" i="14"/>
  <c r="L57" i="14"/>
  <c r="M57" i="14"/>
  <c r="G63" i="14"/>
  <c r="H63" i="14"/>
  <c r="I63" i="14"/>
  <c r="J63" i="14"/>
  <c r="K63" i="14"/>
  <c r="L63" i="14"/>
  <c r="M63" i="14"/>
  <c r="G64" i="14"/>
  <c r="H64" i="14"/>
  <c r="I64" i="14"/>
  <c r="J64" i="14"/>
  <c r="K64" i="14"/>
  <c r="L64" i="14"/>
  <c r="M64" i="14"/>
  <c r="G65" i="14"/>
  <c r="H65" i="14"/>
  <c r="I65" i="14"/>
  <c r="J65" i="14"/>
  <c r="K65" i="14"/>
  <c r="L65" i="14"/>
  <c r="M65" i="14"/>
  <c r="G70" i="14"/>
  <c r="H70" i="14"/>
  <c r="I70" i="14"/>
  <c r="J70" i="14"/>
  <c r="K70" i="14"/>
  <c r="L70" i="14"/>
  <c r="M70" i="14"/>
  <c r="G71" i="14"/>
  <c r="H71" i="14"/>
  <c r="I71" i="14"/>
  <c r="J71" i="14"/>
  <c r="K71" i="14"/>
  <c r="L71" i="14"/>
  <c r="M71" i="14"/>
  <c r="G75" i="14"/>
  <c r="H75" i="14"/>
  <c r="I75" i="14"/>
  <c r="J75" i="14"/>
  <c r="K75" i="14"/>
  <c r="L75" i="14"/>
  <c r="M75" i="14"/>
  <c r="G76" i="14"/>
  <c r="H76" i="14"/>
  <c r="I76" i="14"/>
  <c r="J76" i="14"/>
  <c r="K76" i="14"/>
  <c r="L76" i="14"/>
  <c r="M76" i="14"/>
  <c r="G78" i="14"/>
  <c r="H78" i="14"/>
  <c r="I78" i="14"/>
  <c r="J78" i="14"/>
  <c r="K78" i="14"/>
  <c r="L78" i="14"/>
  <c r="M78" i="14"/>
  <c r="G79" i="14"/>
  <c r="H79" i="14"/>
  <c r="I79" i="14"/>
  <c r="J79" i="14"/>
  <c r="K79" i="14"/>
  <c r="L79" i="14"/>
  <c r="M79" i="14"/>
  <c r="G80" i="14"/>
  <c r="H80" i="14"/>
  <c r="I80" i="14"/>
  <c r="J80" i="14"/>
  <c r="K80" i="14"/>
  <c r="L80" i="14"/>
  <c r="M80" i="14"/>
  <c r="G87" i="14"/>
  <c r="H87" i="14"/>
  <c r="I87" i="14"/>
  <c r="J87" i="14"/>
  <c r="K87" i="14"/>
  <c r="L87" i="14"/>
  <c r="M87" i="14"/>
  <c r="G88" i="14"/>
  <c r="H88" i="14"/>
  <c r="I88" i="14"/>
  <c r="J88" i="14"/>
  <c r="K88" i="14"/>
  <c r="L88" i="14"/>
  <c r="M88" i="14"/>
  <c r="G91" i="14"/>
  <c r="H91" i="14"/>
  <c r="I91" i="14"/>
  <c r="J91" i="14"/>
  <c r="K91" i="14"/>
  <c r="L91" i="14"/>
  <c r="M91" i="14"/>
  <c r="G92" i="14"/>
  <c r="H92" i="14"/>
  <c r="I92" i="14"/>
  <c r="J92" i="14"/>
  <c r="K92" i="14"/>
  <c r="L92" i="14"/>
  <c r="M92" i="14"/>
  <c r="G93" i="14"/>
  <c r="H93" i="14"/>
  <c r="I93" i="14"/>
  <c r="J93" i="14"/>
  <c r="K93" i="14"/>
  <c r="L93" i="14"/>
  <c r="M93" i="14"/>
  <c r="G94" i="14"/>
  <c r="H94" i="14"/>
  <c r="I94" i="14"/>
  <c r="J94" i="14"/>
  <c r="K94" i="14"/>
  <c r="L94" i="14"/>
  <c r="M94" i="14"/>
  <c r="G95" i="14"/>
  <c r="H95" i="14"/>
  <c r="I95" i="14"/>
  <c r="J95" i="14"/>
  <c r="K95" i="14"/>
  <c r="L95" i="14"/>
  <c r="M95" i="14"/>
  <c r="G96" i="14"/>
  <c r="H96" i="14"/>
  <c r="I96" i="14"/>
  <c r="J96" i="14"/>
  <c r="K96" i="14"/>
  <c r="L96" i="14"/>
  <c r="M96" i="14"/>
  <c r="G97" i="14"/>
  <c r="H97" i="14"/>
  <c r="I97" i="14"/>
  <c r="J97" i="14"/>
  <c r="K97" i="14"/>
  <c r="L97" i="14"/>
  <c r="M97" i="14"/>
  <c r="G98" i="14"/>
  <c r="H98" i="14"/>
  <c r="I98" i="14"/>
  <c r="J98" i="14"/>
  <c r="K98" i="14"/>
  <c r="L98" i="14"/>
  <c r="M98" i="14"/>
  <c r="G99" i="14"/>
  <c r="H99" i="14"/>
  <c r="I99" i="14"/>
  <c r="J99" i="14"/>
  <c r="K99" i="14"/>
  <c r="L99" i="14"/>
  <c r="M99" i="14"/>
  <c r="G102" i="14"/>
  <c r="H102" i="14"/>
  <c r="I102" i="14"/>
  <c r="J102" i="14"/>
  <c r="K102" i="14"/>
  <c r="L102" i="14"/>
  <c r="M102" i="14"/>
  <c r="G104" i="14"/>
  <c r="H104" i="14"/>
  <c r="I104" i="14"/>
  <c r="J104" i="14"/>
  <c r="K104" i="14"/>
  <c r="L104" i="14"/>
  <c r="M104" i="14"/>
  <c r="G105" i="14"/>
  <c r="H105" i="14"/>
  <c r="I105" i="14"/>
  <c r="J105" i="14"/>
  <c r="K105" i="14"/>
  <c r="L105" i="14"/>
  <c r="M105" i="14"/>
  <c r="G106" i="14"/>
  <c r="H106" i="14"/>
  <c r="I106" i="14"/>
  <c r="J106" i="14"/>
  <c r="K106" i="14"/>
  <c r="L106" i="14"/>
  <c r="M106" i="14"/>
  <c r="G107" i="14"/>
  <c r="H107" i="14"/>
  <c r="I107" i="14"/>
  <c r="J107" i="14"/>
  <c r="K107" i="14"/>
  <c r="L107" i="14"/>
  <c r="M107" i="14"/>
  <c r="G108" i="14"/>
  <c r="H108" i="14"/>
  <c r="I108" i="14"/>
  <c r="J108" i="14"/>
  <c r="K108" i="14"/>
  <c r="L108" i="14"/>
  <c r="M108" i="14"/>
  <c r="G109" i="14"/>
  <c r="H109" i="14"/>
  <c r="I109" i="14"/>
  <c r="J109" i="14"/>
  <c r="K109" i="14"/>
  <c r="L109" i="14"/>
  <c r="M109" i="14"/>
  <c r="G110" i="14"/>
  <c r="H110" i="14"/>
  <c r="I110" i="14"/>
  <c r="J110" i="14"/>
  <c r="K110" i="14"/>
  <c r="L110" i="14"/>
  <c r="M110" i="14"/>
  <c r="G113" i="14"/>
  <c r="H113" i="14"/>
  <c r="I113" i="14"/>
  <c r="J113" i="14"/>
  <c r="K113" i="14"/>
  <c r="L113" i="14"/>
  <c r="M113" i="14"/>
  <c r="G114" i="14"/>
  <c r="H114" i="14"/>
  <c r="I114" i="14"/>
  <c r="J114" i="14"/>
  <c r="K114" i="14"/>
  <c r="L114" i="14"/>
  <c r="M114" i="14"/>
  <c r="G115" i="14"/>
  <c r="H115" i="14"/>
  <c r="I115" i="14"/>
  <c r="J115" i="14"/>
  <c r="K115" i="14"/>
  <c r="L115" i="14"/>
  <c r="M115" i="14"/>
  <c r="G116" i="14"/>
  <c r="H116" i="14"/>
  <c r="I116" i="14"/>
  <c r="J116" i="14"/>
  <c r="K116" i="14"/>
  <c r="L116" i="14"/>
  <c r="M116" i="14"/>
  <c r="G117" i="14"/>
  <c r="H117" i="14"/>
  <c r="I117" i="14"/>
  <c r="J117" i="14"/>
  <c r="K117" i="14"/>
  <c r="L117" i="14"/>
  <c r="M117" i="14"/>
  <c r="G124" i="14"/>
  <c r="H124" i="14"/>
  <c r="I124" i="14"/>
  <c r="J124" i="14"/>
  <c r="K124" i="14"/>
  <c r="L124" i="14"/>
  <c r="M124" i="14"/>
  <c r="G126" i="14"/>
  <c r="H126" i="14"/>
  <c r="I126" i="14"/>
  <c r="J126" i="14"/>
  <c r="K126" i="14"/>
  <c r="L126" i="14"/>
  <c r="M126" i="14"/>
  <c r="G127" i="14"/>
  <c r="H127" i="14"/>
  <c r="I127" i="14"/>
  <c r="J127" i="14"/>
  <c r="K127" i="14"/>
  <c r="L127" i="14"/>
  <c r="M127" i="14"/>
  <c r="G128" i="14"/>
  <c r="H128" i="14"/>
  <c r="I128" i="14"/>
  <c r="J128" i="14"/>
  <c r="K128" i="14"/>
  <c r="L128" i="14"/>
  <c r="M128" i="14"/>
  <c r="G129" i="14"/>
  <c r="H129" i="14"/>
  <c r="I129" i="14"/>
  <c r="J129" i="14"/>
  <c r="K129" i="14"/>
  <c r="L129" i="14"/>
  <c r="M129" i="14"/>
  <c r="G132" i="14"/>
  <c r="H132" i="14"/>
  <c r="I132" i="14"/>
  <c r="J132" i="14"/>
  <c r="K132" i="14"/>
  <c r="L132" i="14"/>
  <c r="M132" i="14"/>
  <c r="G134" i="14"/>
  <c r="H134" i="14"/>
  <c r="I134" i="14"/>
  <c r="J134" i="14"/>
  <c r="K134" i="14"/>
  <c r="L134" i="14"/>
  <c r="M134" i="14"/>
  <c r="G135" i="14"/>
  <c r="H135" i="14"/>
  <c r="I135" i="14"/>
  <c r="J135" i="14"/>
  <c r="K135" i="14"/>
  <c r="L135" i="14"/>
  <c r="M135" i="14"/>
  <c r="G136" i="14"/>
  <c r="H136" i="14"/>
  <c r="I136" i="14"/>
  <c r="J136" i="14"/>
  <c r="K136" i="14"/>
  <c r="L136" i="14"/>
  <c r="M136" i="14"/>
  <c r="G142" i="14"/>
  <c r="H142" i="14"/>
  <c r="I142" i="14"/>
  <c r="J142" i="14"/>
  <c r="K142" i="14"/>
  <c r="L142" i="14"/>
  <c r="M142" i="14"/>
  <c r="G143" i="14"/>
  <c r="H143" i="14"/>
  <c r="I143" i="14"/>
  <c r="J143" i="14"/>
  <c r="K143" i="14"/>
  <c r="L143" i="14"/>
  <c r="M143" i="14"/>
  <c r="G146" i="14"/>
  <c r="H146" i="14"/>
  <c r="I146" i="14"/>
  <c r="J146" i="14"/>
  <c r="K146" i="14"/>
  <c r="L146" i="14"/>
  <c r="M146" i="14"/>
  <c r="G147" i="14"/>
  <c r="H147" i="14"/>
  <c r="I147" i="14"/>
  <c r="J147" i="14"/>
  <c r="K147" i="14"/>
  <c r="L147" i="14"/>
  <c r="M147" i="14"/>
  <c r="G148" i="14"/>
  <c r="H148" i="14"/>
  <c r="I148" i="14"/>
  <c r="J148" i="14"/>
  <c r="K148" i="14"/>
  <c r="L148" i="14"/>
  <c r="M148" i="14"/>
  <c r="G149" i="14"/>
  <c r="H149" i="14"/>
  <c r="I149" i="14"/>
  <c r="J149" i="14"/>
  <c r="K149" i="14"/>
  <c r="L149" i="14"/>
  <c r="M149" i="14"/>
  <c r="G150" i="14"/>
  <c r="H150" i="14"/>
  <c r="I150" i="14"/>
  <c r="J150" i="14"/>
  <c r="K150" i="14"/>
  <c r="L150" i="14"/>
  <c r="M150" i="14"/>
  <c r="G151" i="14"/>
  <c r="H151" i="14"/>
  <c r="I151" i="14"/>
  <c r="J151" i="14"/>
  <c r="K151" i="14"/>
  <c r="L151" i="14"/>
  <c r="M151" i="14"/>
  <c r="G152" i="14"/>
  <c r="H152" i="14"/>
  <c r="I152" i="14"/>
  <c r="J152" i="14"/>
  <c r="K152" i="14"/>
  <c r="L152" i="14"/>
  <c r="M152" i="14"/>
  <c r="G153" i="14"/>
  <c r="H153" i="14"/>
  <c r="I153" i="14"/>
  <c r="J153" i="14"/>
  <c r="K153" i="14"/>
  <c r="L153" i="14"/>
  <c r="M153" i="14"/>
  <c r="G155" i="14"/>
  <c r="H155" i="14"/>
  <c r="I155" i="14"/>
  <c r="J155" i="14"/>
  <c r="K155" i="14"/>
  <c r="L155" i="14"/>
  <c r="M155" i="14"/>
  <c r="G156" i="14"/>
  <c r="H156" i="14"/>
  <c r="I156" i="14"/>
  <c r="J156" i="14"/>
  <c r="K156" i="14"/>
  <c r="L156" i="14"/>
  <c r="M156" i="14"/>
  <c r="G157" i="14"/>
  <c r="H157" i="14"/>
  <c r="I157" i="14"/>
  <c r="J157" i="14"/>
  <c r="K157" i="14"/>
  <c r="L157" i="14"/>
  <c r="M157" i="14"/>
  <c r="G158" i="14"/>
  <c r="H158" i="14"/>
  <c r="I158" i="14"/>
  <c r="J158" i="14"/>
  <c r="K158" i="14"/>
  <c r="L158" i="14"/>
  <c r="M158" i="14"/>
  <c r="G159" i="14"/>
  <c r="H159" i="14"/>
  <c r="I159" i="14"/>
  <c r="J159" i="14"/>
  <c r="K159" i="14"/>
  <c r="L159" i="14"/>
  <c r="M159" i="14"/>
  <c r="G160" i="14"/>
  <c r="H160" i="14"/>
  <c r="I160" i="14"/>
  <c r="J160" i="14"/>
  <c r="K160" i="14"/>
  <c r="L160" i="14"/>
  <c r="M160" i="14"/>
  <c r="G161" i="14"/>
  <c r="H161" i="14"/>
  <c r="I161" i="14"/>
  <c r="J161" i="14"/>
  <c r="K161" i="14"/>
  <c r="L161" i="14"/>
  <c r="M161" i="14"/>
  <c r="G162" i="14"/>
  <c r="H162" i="14"/>
  <c r="I162" i="14"/>
  <c r="J162" i="14"/>
  <c r="K162" i="14"/>
  <c r="L162" i="14"/>
  <c r="M162" i="14"/>
  <c r="G164" i="14"/>
  <c r="H164" i="14"/>
  <c r="I164" i="14"/>
  <c r="J164" i="14"/>
  <c r="K164" i="14"/>
  <c r="L164" i="14"/>
  <c r="M164" i="14"/>
  <c r="G165" i="14"/>
  <c r="H165" i="14"/>
  <c r="I165" i="14"/>
  <c r="J165" i="14"/>
  <c r="K165" i="14"/>
  <c r="L165" i="14"/>
  <c r="M165" i="14"/>
  <c r="G167" i="14"/>
  <c r="H167" i="14"/>
  <c r="I167" i="14"/>
  <c r="J167" i="14"/>
  <c r="K167" i="14"/>
  <c r="L167" i="14"/>
  <c r="M167" i="14"/>
  <c r="G168" i="14"/>
  <c r="H168" i="14"/>
  <c r="I168" i="14"/>
  <c r="J168" i="14"/>
  <c r="K168" i="14"/>
  <c r="L168" i="14"/>
  <c r="M168" i="14"/>
  <c r="G169" i="14"/>
  <c r="H169" i="14"/>
  <c r="I169" i="14"/>
  <c r="J169" i="14"/>
  <c r="K169" i="14"/>
  <c r="L169" i="14"/>
  <c r="M169" i="14"/>
  <c r="G170" i="14"/>
  <c r="H170" i="14"/>
  <c r="I170" i="14"/>
  <c r="J170" i="14"/>
  <c r="K170" i="14"/>
  <c r="L170" i="14"/>
  <c r="M170" i="14"/>
  <c r="G171" i="14"/>
  <c r="H171" i="14"/>
  <c r="I171" i="14"/>
  <c r="J171" i="14"/>
  <c r="K171" i="14"/>
  <c r="L171" i="14"/>
  <c r="M171" i="14"/>
  <c r="G172" i="14"/>
  <c r="H172" i="14"/>
  <c r="I172" i="14"/>
  <c r="J172" i="14"/>
  <c r="K172" i="14"/>
  <c r="L172" i="14"/>
  <c r="M172" i="14"/>
  <c r="G178" i="14"/>
  <c r="H178" i="14"/>
  <c r="I178" i="14"/>
  <c r="J178" i="14"/>
  <c r="K178" i="14"/>
  <c r="L178" i="14"/>
  <c r="M178" i="14"/>
  <c r="G180" i="14"/>
  <c r="H180" i="14"/>
  <c r="I180" i="14"/>
  <c r="J180" i="14"/>
  <c r="K180" i="14"/>
  <c r="L180" i="14"/>
  <c r="M180" i="14"/>
  <c r="G184" i="14"/>
  <c r="H184" i="14"/>
  <c r="I184" i="14"/>
  <c r="J184" i="14"/>
  <c r="K184" i="14"/>
  <c r="L184" i="14"/>
  <c r="M184" i="14"/>
  <c r="G188" i="14"/>
  <c r="H188" i="14"/>
  <c r="I188" i="14"/>
  <c r="J188" i="14"/>
  <c r="K188" i="14"/>
  <c r="L188" i="14"/>
  <c r="M188" i="14"/>
  <c r="G189" i="14"/>
  <c r="H189" i="14"/>
  <c r="I189" i="14"/>
  <c r="J189" i="14"/>
  <c r="K189" i="14"/>
  <c r="L189" i="14"/>
  <c r="M189" i="14"/>
  <c r="G190" i="14"/>
  <c r="H190" i="14"/>
  <c r="I190" i="14"/>
  <c r="J190" i="14"/>
  <c r="K190" i="14"/>
  <c r="L190" i="14"/>
  <c r="M190" i="14"/>
  <c r="F7" i="22"/>
  <c r="G7" i="22"/>
  <c r="H7" i="22"/>
  <c r="I7" i="22"/>
  <c r="J7" i="22"/>
  <c r="K7" i="22"/>
  <c r="L7" i="22"/>
  <c r="F10" i="22"/>
  <c r="G10" i="22"/>
  <c r="H10" i="22"/>
  <c r="I10" i="22"/>
  <c r="J10" i="22"/>
  <c r="K10" i="22"/>
  <c r="L10" i="22"/>
  <c r="F11" i="22"/>
  <c r="G11" i="22"/>
  <c r="H11" i="22"/>
  <c r="I11" i="22"/>
  <c r="J11" i="22"/>
  <c r="K11" i="22"/>
  <c r="L11" i="22"/>
  <c r="F12" i="22"/>
  <c r="G12" i="22"/>
  <c r="H12" i="22"/>
  <c r="I12" i="22"/>
  <c r="J12" i="22"/>
  <c r="K12" i="22"/>
  <c r="L12" i="22"/>
  <c r="F18" i="22"/>
  <c r="G18" i="22"/>
  <c r="H18" i="22"/>
  <c r="I18" i="22"/>
  <c r="J18" i="22"/>
  <c r="K18" i="22"/>
  <c r="L18" i="22"/>
  <c r="F20" i="22"/>
  <c r="G20" i="22"/>
  <c r="H20" i="22"/>
  <c r="I20" i="22"/>
  <c r="J20" i="22"/>
  <c r="K20" i="22"/>
  <c r="L20" i="22"/>
  <c r="F21" i="22"/>
  <c r="G21" i="22"/>
  <c r="H21" i="22"/>
  <c r="I21" i="22"/>
  <c r="J21" i="22"/>
  <c r="K21" i="22"/>
  <c r="L21" i="22"/>
  <c r="F23" i="22"/>
  <c r="G23" i="22"/>
  <c r="H23" i="22"/>
  <c r="I23" i="22"/>
  <c r="J23" i="22"/>
  <c r="K23" i="22"/>
  <c r="L23" i="22"/>
  <c r="F24" i="22"/>
  <c r="G24" i="22"/>
  <c r="H24" i="22"/>
  <c r="I24" i="22"/>
  <c r="J24" i="22"/>
  <c r="K24" i="22"/>
  <c r="L24" i="22"/>
  <c r="F25" i="22"/>
  <c r="G25" i="22"/>
  <c r="H25" i="22"/>
  <c r="I25" i="22"/>
  <c r="J25" i="22"/>
  <c r="K25" i="22"/>
  <c r="L25" i="22"/>
  <c r="F27" i="22"/>
  <c r="G27" i="22"/>
  <c r="H27" i="22"/>
  <c r="I27" i="22"/>
  <c r="J27" i="22"/>
  <c r="K27" i="22"/>
  <c r="L27" i="22"/>
  <c r="F29" i="22"/>
  <c r="G29" i="22"/>
  <c r="H29" i="22"/>
  <c r="I29" i="22"/>
  <c r="J29" i="22"/>
  <c r="K29" i="22"/>
  <c r="L29" i="22"/>
  <c r="F30" i="22"/>
  <c r="G30" i="22"/>
  <c r="H30" i="22"/>
  <c r="I30" i="22"/>
  <c r="J30" i="22"/>
  <c r="K30" i="22"/>
  <c r="L30" i="22"/>
  <c r="F33" i="22"/>
  <c r="G33" i="22"/>
  <c r="H33" i="22"/>
  <c r="I33" i="22"/>
  <c r="J33" i="22"/>
  <c r="K33" i="22"/>
  <c r="L33" i="22"/>
  <c r="F35" i="22"/>
  <c r="G35" i="22"/>
  <c r="H35" i="22"/>
  <c r="I35" i="22"/>
  <c r="J35" i="22"/>
  <c r="K35" i="22"/>
  <c r="L35" i="22"/>
  <c r="F42" i="22"/>
  <c r="G42" i="22"/>
  <c r="H42" i="22"/>
  <c r="I42" i="22"/>
  <c r="J42" i="22"/>
  <c r="K42" i="22"/>
  <c r="L42" i="22"/>
  <c r="F44" i="22"/>
  <c r="G44" i="22"/>
  <c r="H44" i="22"/>
  <c r="I44" i="22"/>
  <c r="J44" i="22"/>
  <c r="K44" i="22"/>
  <c r="L44" i="22"/>
  <c r="F45" i="22"/>
  <c r="G45" i="22"/>
  <c r="H45" i="22"/>
  <c r="I45" i="22"/>
  <c r="J45" i="22"/>
  <c r="K45" i="22"/>
  <c r="L45" i="22"/>
  <c r="F48" i="22"/>
  <c r="G48" i="22"/>
  <c r="H48" i="22"/>
  <c r="I48" i="22"/>
  <c r="J48" i="22"/>
  <c r="K48" i="22"/>
  <c r="L48" i="22"/>
  <c r="F50" i="22"/>
  <c r="G50" i="22"/>
  <c r="H50" i="22"/>
  <c r="I50" i="22"/>
  <c r="J50" i="22"/>
  <c r="K50" i="22"/>
  <c r="L50" i="22"/>
  <c r="F51" i="22"/>
  <c r="G51" i="22"/>
  <c r="H51" i="22"/>
  <c r="I51" i="22"/>
  <c r="J51" i="22"/>
  <c r="K51" i="22"/>
  <c r="L51" i="22"/>
  <c r="F53" i="22"/>
  <c r="G53" i="22"/>
  <c r="H53" i="22"/>
  <c r="I53" i="22"/>
  <c r="J53" i="22"/>
  <c r="K53" i="22"/>
  <c r="L53" i="22"/>
  <c r="F54" i="22"/>
  <c r="G54" i="22"/>
  <c r="H54" i="22"/>
  <c r="I54" i="22"/>
  <c r="J54" i="22"/>
  <c r="K54" i="22"/>
  <c r="L54" i="22"/>
  <c r="F55" i="22"/>
  <c r="G55" i="22"/>
  <c r="H55" i="22"/>
  <c r="I55" i="22"/>
  <c r="J55" i="22"/>
  <c r="K55" i="22"/>
  <c r="L55" i="22"/>
  <c r="F57" i="22"/>
  <c r="G57" i="22"/>
  <c r="H57" i="22"/>
  <c r="I57" i="22"/>
  <c r="J57" i="22"/>
  <c r="K57" i="22"/>
  <c r="L57" i="22"/>
  <c r="F58" i="22"/>
  <c r="G58" i="22"/>
  <c r="H58" i="22"/>
  <c r="I58" i="22"/>
  <c r="J58" i="22"/>
  <c r="K58" i="22"/>
  <c r="L58" i="22"/>
  <c r="F59" i="22"/>
  <c r="G59" i="22"/>
  <c r="H59" i="22"/>
  <c r="I59" i="22"/>
  <c r="J59" i="22"/>
  <c r="K59" i="22"/>
  <c r="L59" i="22"/>
  <c r="F60" i="22"/>
  <c r="G60" i="22"/>
  <c r="H60" i="22"/>
  <c r="I60" i="22"/>
  <c r="J60" i="22"/>
  <c r="K60" i="22"/>
  <c r="L6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E30" authorId="0" shapeId="0" xr:uid="{00000000-0006-0000-0100-000001000000}">
      <text>
        <r>
          <rPr>
            <b/>
            <sz val="12"/>
            <color rgb="FF000000"/>
            <rFont val="Tahoma"/>
            <family val="2"/>
          </rPr>
          <t>Switching to fast charging can also be done by [ CTRL + SHIFT + F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Kubal, Joseph J.</author>
    <author>Ahmed, Shabbir</author>
  </authors>
  <commentList>
    <comment ref="D28" authorId="0" shapeId="0" xr:uid="{00000000-0006-0000-0200-000001000000}">
      <text>
        <r>
          <rPr>
            <sz val="9"/>
            <color rgb="FF000000"/>
            <rFont val="Tahoma"/>
            <family val="2"/>
          </rPr>
          <t>Will only work for graphite. Will not change values for LTO for example</t>
        </r>
      </text>
    </comment>
    <comment ref="AX60" authorId="1" shapeId="0" xr:uid="{00000000-0006-0000-0200-000002000000}">
      <text>
        <r>
          <rPr>
            <b/>
            <sz val="9"/>
            <color indexed="81"/>
            <rFont val="Tahoma"/>
            <family val="2"/>
          </rPr>
          <t>Trask 14June2019</t>
        </r>
        <r>
          <rPr>
            <sz val="9"/>
            <color indexed="81"/>
            <rFont val="Tahoma"/>
            <family val="2"/>
          </rPr>
          <t xml:space="preserve">
</t>
        </r>
      </text>
    </comment>
    <comment ref="BC60" authorId="1" shapeId="0" xr:uid="{00000000-0006-0000-0200-000003000000}">
      <text>
        <r>
          <rPr>
            <b/>
            <sz val="9"/>
            <color indexed="81"/>
            <rFont val="Tahoma"/>
            <family val="2"/>
          </rPr>
          <t>Trask 14June2019</t>
        </r>
        <r>
          <rPr>
            <sz val="9"/>
            <color indexed="81"/>
            <rFont val="Tahoma"/>
            <family val="2"/>
          </rPr>
          <t xml:space="preserve">
</t>
        </r>
      </text>
    </comment>
    <comment ref="AX61" authorId="1" shapeId="0" xr:uid="{00000000-0006-0000-0200-000004000000}">
      <text>
        <r>
          <rPr>
            <b/>
            <sz val="9"/>
            <color indexed="81"/>
            <rFont val="Tahoma"/>
            <family val="2"/>
          </rPr>
          <t>Trask 14June2019</t>
        </r>
        <r>
          <rPr>
            <sz val="9"/>
            <color indexed="81"/>
            <rFont val="Tahoma"/>
            <family val="2"/>
          </rPr>
          <t xml:space="preserve">
</t>
        </r>
      </text>
    </comment>
    <comment ref="BC61" authorId="1" shapeId="0" xr:uid="{00000000-0006-0000-0200-000005000000}">
      <text>
        <r>
          <rPr>
            <b/>
            <sz val="9"/>
            <color indexed="81"/>
            <rFont val="Tahoma"/>
            <family val="2"/>
          </rPr>
          <t>Trask 14June2019</t>
        </r>
        <r>
          <rPr>
            <sz val="9"/>
            <color indexed="81"/>
            <rFont val="Tahoma"/>
            <family val="2"/>
          </rPr>
          <t xml:space="preserve">
</t>
        </r>
      </text>
    </comment>
    <comment ref="AX62" authorId="1" shapeId="0" xr:uid="{00000000-0006-0000-0200-000006000000}">
      <text>
        <r>
          <rPr>
            <b/>
            <sz val="9"/>
            <color indexed="81"/>
            <rFont val="Tahoma"/>
            <family val="2"/>
          </rPr>
          <t>Trask 14June2019</t>
        </r>
        <r>
          <rPr>
            <sz val="9"/>
            <color indexed="81"/>
            <rFont val="Tahoma"/>
            <family val="2"/>
          </rPr>
          <t xml:space="preserve">
</t>
        </r>
      </text>
    </comment>
    <comment ref="BC62" authorId="1" shapeId="0" xr:uid="{00000000-0006-0000-0200-000007000000}">
      <text>
        <r>
          <rPr>
            <b/>
            <sz val="9"/>
            <color indexed="81"/>
            <rFont val="Tahoma"/>
            <family val="2"/>
          </rPr>
          <t>Trask 14June2019</t>
        </r>
        <r>
          <rPr>
            <sz val="9"/>
            <color indexed="81"/>
            <rFont val="Tahoma"/>
            <family val="2"/>
          </rPr>
          <t xml:space="preserve">
</t>
        </r>
      </text>
    </comment>
    <comment ref="AX63" authorId="1" shapeId="0" xr:uid="{00000000-0006-0000-0200-000008000000}">
      <text>
        <r>
          <rPr>
            <b/>
            <sz val="9"/>
            <color indexed="81"/>
            <rFont val="Tahoma"/>
            <family val="2"/>
          </rPr>
          <t>Trask 14June2019</t>
        </r>
        <r>
          <rPr>
            <sz val="9"/>
            <color indexed="81"/>
            <rFont val="Tahoma"/>
            <family val="2"/>
          </rPr>
          <t xml:space="preserve">
</t>
        </r>
      </text>
    </comment>
    <comment ref="BC63" authorId="1" shapeId="0" xr:uid="{00000000-0006-0000-0200-000009000000}">
      <text>
        <r>
          <rPr>
            <b/>
            <sz val="9"/>
            <color indexed="81"/>
            <rFont val="Tahoma"/>
            <family val="2"/>
          </rPr>
          <t>Trask 14June2019</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F10" authorId="0" shapeId="0" xr:uid="{00000000-0006-0000-0400-000001000000}">
      <text>
        <r>
          <rPr>
            <sz val="11"/>
            <color indexed="81"/>
            <rFont val="Tahoma"/>
            <family val="2"/>
          </rPr>
          <t>Can be changed in Dashboard</t>
        </r>
      </text>
    </comment>
    <comment ref="G27" authorId="0" shapeId="0" xr:uid="{00000000-0006-0000-0400-000002000000}">
      <text>
        <r>
          <rPr>
            <sz val="11"/>
            <color indexed="81"/>
            <rFont val="Tahoma"/>
            <family val="2"/>
          </rPr>
          <t>Can be changed in Dashboard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N82" authorId="0" shapeId="0" xr:uid="{00000000-0006-0000-0C00-000001000000}">
      <text>
        <r>
          <rPr>
            <b/>
            <sz val="9"/>
            <color indexed="81"/>
            <rFont val="Tahoma"/>
            <family val="2"/>
          </rPr>
          <t>The values for the Dow coolant may be used as an alternative</t>
        </r>
      </text>
    </comment>
  </commentList>
</comments>
</file>

<file path=xl/sharedStrings.xml><?xml version="1.0" encoding="utf-8"?>
<sst xmlns="http://schemas.openxmlformats.org/spreadsheetml/2006/main" count="3157" uniqueCount="1562">
  <si>
    <t>Battery 1</t>
  </si>
  <si>
    <t>Battery 2</t>
  </si>
  <si>
    <t>Battery 3</t>
  </si>
  <si>
    <t>Battery 4</t>
  </si>
  <si>
    <t>Battery 5</t>
  </si>
  <si>
    <t>Positive Electrode</t>
  </si>
  <si>
    <t>Active material</t>
  </si>
  <si>
    <t>Density</t>
  </si>
  <si>
    <t>Weight %</t>
  </si>
  <si>
    <t>Vol. %</t>
  </si>
  <si>
    <t>Carbon</t>
  </si>
  <si>
    <t>Binder</t>
  </si>
  <si>
    <t>Total</t>
  </si>
  <si>
    <t>Excess negative area, %</t>
  </si>
  <si>
    <t>Capacity at C/3, Ah</t>
  </si>
  <si>
    <t>Positive Electrode, g</t>
  </si>
  <si>
    <t>Positive active material capacity, mAh/g:</t>
  </si>
  <si>
    <r>
      <t>Positive electrode capacity, Ah/cm</t>
    </r>
    <r>
      <rPr>
        <vertAlign val="superscript"/>
        <sz val="10"/>
        <rFont val="Arial"/>
        <family val="2"/>
      </rPr>
      <t>3</t>
    </r>
  </si>
  <si>
    <t>Negative active material capacity, mAh/g:</t>
  </si>
  <si>
    <r>
      <t>Negative electrode capacity, Ah/cm</t>
    </r>
    <r>
      <rPr>
        <vertAlign val="superscript"/>
        <sz val="10"/>
        <rFont val="Arial"/>
        <family val="2"/>
      </rPr>
      <t>3</t>
    </r>
  </si>
  <si>
    <t>Cell Capacity Parameters</t>
  </si>
  <si>
    <t>Cell Voltage and Resistance Parameters</t>
  </si>
  <si>
    <t>Cell mass, g</t>
  </si>
  <si>
    <t>Balance of Cell</t>
  </si>
  <si>
    <t>Calculated Battery Parameters</t>
  </si>
  <si>
    <t>Number of batteries manufactured per year</t>
  </si>
  <si>
    <t>Cell yield, %</t>
  </si>
  <si>
    <t>Unit Cell Materials Cost</t>
  </si>
  <si>
    <t>Baseline</t>
  </si>
  <si>
    <t>Positive Electrode, $/kg</t>
  </si>
  <si>
    <t>p</t>
  </si>
  <si>
    <t>Cost per</t>
  </si>
  <si>
    <t>Plus Cost</t>
  </si>
  <si>
    <t xml:space="preserve">     Active Material</t>
  </si>
  <si>
    <t>Mass, $/kg</t>
  </si>
  <si>
    <t>per Cell, $</t>
  </si>
  <si>
    <t>Positive terminal</t>
  </si>
  <si>
    <t xml:space="preserve">     Carbon Black</t>
  </si>
  <si>
    <t>Negative terminal</t>
  </si>
  <si>
    <t xml:space="preserve">     Binder PVDF</t>
  </si>
  <si>
    <t>Cell Container</t>
  </si>
  <si>
    <t xml:space="preserve">     Binder Solvent (NMP)</t>
  </si>
  <si>
    <t>Negative electrode material, $/kg</t>
  </si>
  <si>
    <t xml:space="preserve">     Cost per cell, $</t>
  </si>
  <si>
    <t xml:space="preserve">     Plus cost per module, $</t>
  </si>
  <si>
    <r>
      <t>Separators, $/m</t>
    </r>
    <r>
      <rPr>
        <vertAlign val="superscript"/>
        <sz val="10"/>
        <rFont val="Arial"/>
        <family val="2"/>
      </rPr>
      <t>2</t>
    </r>
  </si>
  <si>
    <t>Electrolyte, $/L</t>
  </si>
  <si>
    <t xml:space="preserve">     Plus cost per battery, $</t>
  </si>
  <si>
    <t>Battery Assembly Costs</t>
  </si>
  <si>
    <t>Operation</t>
  </si>
  <si>
    <t>Plant</t>
  </si>
  <si>
    <t>Receiving</t>
  </si>
  <si>
    <t xml:space="preserve">     Pertinent volume: energy/year</t>
  </si>
  <si>
    <t xml:space="preserve">     Pertinent volume: cell area/year</t>
  </si>
  <si>
    <t>Electrode Processing</t>
  </si>
  <si>
    <t>Materials preparation</t>
  </si>
  <si>
    <t xml:space="preserve">     Positive materials</t>
  </si>
  <si>
    <t xml:space="preserve">     Pertinent volume: positive active mass/year</t>
  </si>
  <si>
    <t xml:space="preserve">     Pertinent volume: number of cells/year</t>
  </si>
  <si>
    <t xml:space="preserve">     Negative materials</t>
  </si>
  <si>
    <t xml:space="preserve">     Pertinent volume: negative active mass/year</t>
  </si>
  <si>
    <t>Current collector welding</t>
  </si>
  <si>
    <t>Electrode coating</t>
  </si>
  <si>
    <t>Electrolyte filling, and cell sealing</t>
  </si>
  <si>
    <t>Formation Cycling</t>
  </si>
  <si>
    <t>Module Assembly</t>
  </si>
  <si>
    <t>Rejected Cell and Scrap Recycle</t>
  </si>
  <si>
    <t>Shipping</t>
  </si>
  <si>
    <t>Investment Costs</t>
  </si>
  <si>
    <t>Launch Cost rates</t>
  </si>
  <si>
    <t xml:space="preserve">     Percent of direct labor plus variable overhead, %</t>
  </si>
  <si>
    <t>Working capital, percent of annual variable cost, %</t>
  </si>
  <si>
    <t>Unit Cost of Battery Pack</t>
  </si>
  <si>
    <t>Variable Cost</t>
  </si>
  <si>
    <t>Direct labor rate, $/hr</t>
  </si>
  <si>
    <t>Fixed Expenses</t>
  </si>
  <si>
    <t>General, Sales, Administration rates</t>
  </si>
  <si>
    <t xml:space="preserve">     Percent of depreciation, %</t>
  </si>
  <si>
    <t>Research and Development rate, % of depreciation</t>
  </si>
  <si>
    <t>Depreciation rates</t>
  </si>
  <si>
    <r>
      <t xml:space="preserve">Profits After Taxes, </t>
    </r>
    <r>
      <rPr>
        <sz val="10"/>
        <rFont val="Arial"/>
        <family val="2"/>
      </rPr>
      <t>% of investment</t>
    </r>
  </si>
  <si>
    <t>Annual Processing Rates</t>
  </si>
  <si>
    <t>Number of accepted cells per year</t>
  </si>
  <si>
    <t>Number of cells adjusted for yield</t>
  </si>
  <si>
    <t>Direct Materials Costs</t>
  </si>
  <si>
    <t>Yield, %</t>
  </si>
  <si>
    <t xml:space="preserve">     Total</t>
  </si>
  <si>
    <r>
      <t>Separators, m</t>
    </r>
    <r>
      <rPr>
        <vertAlign val="superscript"/>
        <sz val="10"/>
        <rFont val="Arial"/>
        <family val="2"/>
      </rPr>
      <t>2</t>
    </r>
  </si>
  <si>
    <t>Electrolyte, L</t>
  </si>
  <si>
    <t>Annual Cell Materials Rates</t>
  </si>
  <si>
    <t>Negative Electrode Material, kg</t>
  </si>
  <si>
    <t>Unit Cell Materials Costs</t>
  </si>
  <si>
    <t>Positive Electrode (dry)</t>
  </si>
  <si>
    <t>Negative electrode material (dry)</t>
  </si>
  <si>
    <t>Positive current collector (aluminum foil)</t>
  </si>
  <si>
    <t>Negative current collector (copper foil)</t>
  </si>
  <si>
    <t>Separators</t>
  </si>
  <si>
    <t>Electrolyte</t>
  </si>
  <si>
    <t>Positive terminal assembly, $/unit</t>
  </si>
  <si>
    <t>Negative terminal assembly, $/unit</t>
  </si>
  <si>
    <t>Operation (Pertinent rate)</t>
  </si>
  <si>
    <t xml:space="preserve">     Volume ratio (volume/baseline volume)</t>
  </si>
  <si>
    <t xml:space="preserve">     Positive materials (positive mass/yr)</t>
  </si>
  <si>
    <t xml:space="preserve">     Negative materials (negative mass/yr)</t>
  </si>
  <si>
    <t xml:space="preserve">     Positive materials (area/yr)</t>
  </si>
  <si>
    <t xml:space="preserve">     Negative materials area/yr)</t>
  </si>
  <si>
    <t>Electrode Slitting (area/yr)</t>
  </si>
  <si>
    <t>Current collector welding (number of cells/yr)</t>
  </si>
  <si>
    <t>Electrolyte filling, and cell sealing (number of cells/yr)</t>
  </si>
  <si>
    <t>Formation Cycling (number of cells/yr)</t>
  </si>
  <si>
    <t>Module Assembly (number of cells/yr)</t>
  </si>
  <si>
    <t xml:space="preserve">Rejected Cell and Scrap Recycle (number of cells/yr) </t>
  </si>
  <si>
    <t>Shipping (energy/yr)</t>
  </si>
  <si>
    <t>Launch Costs</t>
  </si>
  <si>
    <t xml:space="preserve">     Rate: 5% of direct annual materials + 10% of other annual costs</t>
  </si>
  <si>
    <t xml:space="preserve">     Total, million$</t>
  </si>
  <si>
    <t xml:space="preserve">Materials and Purchased Items </t>
  </si>
  <si>
    <t xml:space="preserve">     Electrode processing</t>
  </si>
  <si>
    <t xml:space="preserve">     Cell assembly</t>
  </si>
  <si>
    <t xml:space="preserve">     Rejection and recycling</t>
  </si>
  <si>
    <t xml:space="preserve">     Receiving and shipping</t>
  </si>
  <si>
    <t xml:space="preserve">    Total</t>
  </si>
  <si>
    <t>Variable Overhead</t>
  </si>
  <si>
    <t>Total Variable Cost</t>
  </si>
  <si>
    <t>General, Sales, Administration</t>
  </si>
  <si>
    <t>Research and Development</t>
  </si>
  <si>
    <t>Depreciation</t>
  </si>
  <si>
    <t>Total Fixed Expenses</t>
  </si>
  <si>
    <t>Profits after taxes</t>
  </si>
  <si>
    <t xml:space="preserve">Variable Overhead  </t>
  </si>
  <si>
    <t xml:space="preserve">Profit     </t>
  </si>
  <si>
    <r>
      <t>Positive current collector foil, $/m</t>
    </r>
    <r>
      <rPr>
        <vertAlign val="superscript"/>
        <sz val="10"/>
        <rFont val="Arial"/>
        <family val="2"/>
      </rPr>
      <t>2</t>
    </r>
  </si>
  <si>
    <r>
      <t>Negative current collector foil, $/m</t>
    </r>
    <r>
      <rPr>
        <vertAlign val="superscript"/>
        <sz val="10"/>
        <rFont val="Arial"/>
        <family val="2"/>
      </rPr>
      <t>2</t>
    </r>
  </si>
  <si>
    <t>Negative Electrode, g</t>
  </si>
  <si>
    <t>Unit Cell Hardware Costs</t>
  </si>
  <si>
    <t>Capital equipment cost including installation, mil$</t>
  </si>
  <si>
    <t>Working capital (30% of annual variable costs), mil$</t>
  </si>
  <si>
    <t>Unit Cost of Battery Pack, $</t>
  </si>
  <si>
    <t>Summary of Unit Costs, $</t>
  </si>
  <si>
    <t>Negative-to-positive capacity ratio after formation</t>
  </si>
  <si>
    <t>Summary of Results</t>
  </si>
  <si>
    <t>Manufacturing Cost Calculations</t>
  </si>
  <si>
    <t>Cost Rates for Manufacturing</t>
  </si>
  <si>
    <t>Building, Land and Utilities</t>
  </si>
  <si>
    <t xml:space="preserve">     Building investment, mil$</t>
  </si>
  <si>
    <r>
      <t>Cost of building (including land and utilities), $/m</t>
    </r>
    <r>
      <rPr>
        <vertAlign val="superscript"/>
        <sz val="10"/>
        <rFont val="Arial"/>
        <family val="2"/>
      </rPr>
      <t>2</t>
    </r>
  </si>
  <si>
    <t>Total investment, mil$</t>
  </si>
  <si>
    <t>Target % OCV at full power</t>
  </si>
  <si>
    <t>Maximum current at full power, A</t>
  </si>
  <si>
    <t>% OCV at full power adjusted for thickness limit</t>
  </si>
  <si>
    <t>Calculated Cell Parameters</t>
  </si>
  <si>
    <t>Baseline Manufacturing Rates</t>
  </si>
  <si>
    <t>Cost inputs that vary with cell chemistry</t>
  </si>
  <si>
    <t>Cost inputs that are do not vary with chemistry</t>
  </si>
  <si>
    <t>Capacity, Ah</t>
  </si>
  <si>
    <t>Available battery energy, % of total</t>
  </si>
  <si>
    <t>Vehicle electric range, miles</t>
  </si>
  <si>
    <t>Negative Electrode</t>
  </si>
  <si>
    <t>Positive Foil</t>
  </si>
  <si>
    <t>Material</t>
  </si>
  <si>
    <t>Negative Foil</t>
  </si>
  <si>
    <t>Separator</t>
  </si>
  <si>
    <t>Aluminum</t>
  </si>
  <si>
    <t>N/P capacity ratio after formation</t>
  </si>
  <si>
    <t>Active material capacity, mAh/g:</t>
  </si>
  <si>
    <t>NCA-G</t>
  </si>
  <si>
    <t>LFP-G</t>
  </si>
  <si>
    <t>Cell Materials Costs</t>
  </si>
  <si>
    <t>Copper</t>
  </si>
  <si>
    <t xml:space="preserve">     Active material</t>
  </si>
  <si>
    <t>Override</t>
  </si>
  <si>
    <t>LMO-G</t>
  </si>
  <si>
    <t>Positive Electrode Materials (dry), g</t>
  </si>
  <si>
    <t>Negative Electrode Materials (dry), g</t>
  </si>
  <si>
    <t>Binder solvent recovery, %</t>
  </si>
  <si>
    <t>Effective full days of operation per year</t>
  </si>
  <si>
    <t>Receiving (Energy/yr)</t>
  </si>
  <si>
    <t>Number of annual 8-h shifts</t>
  </si>
  <si>
    <t>Purchased Items</t>
  </si>
  <si>
    <t>Materials</t>
  </si>
  <si>
    <t>Calendering</t>
  </si>
  <si>
    <t>Slitting</t>
  </si>
  <si>
    <t>Materials preparation and delivery to coating</t>
  </si>
  <si>
    <t>Inserting cell in container</t>
  </si>
  <si>
    <t>Battery Pack Assembly and Testing</t>
  </si>
  <si>
    <t>Inter-process materials handling (area/yr)</t>
  </si>
  <si>
    <t>Inserting cell in container (number of cell/yr)</t>
  </si>
  <si>
    <t xml:space="preserve">        Cell Capacity, Ah</t>
  </si>
  <si>
    <t xml:space="preserve">        Baseline Cell Capacity, Ah</t>
  </si>
  <si>
    <t>Energy, kWh per year</t>
  </si>
  <si>
    <t>Positive active material, kg per year</t>
  </si>
  <si>
    <t>Negative active material, kg per year</t>
  </si>
  <si>
    <t>Binder solvent, kg per year</t>
  </si>
  <si>
    <t xml:space="preserve">     Pertinent volume: NMP mass/year</t>
  </si>
  <si>
    <t>Mixing</t>
  </si>
  <si>
    <t>Coating</t>
  </si>
  <si>
    <t>Electrode</t>
  </si>
  <si>
    <t>Filling</t>
  </si>
  <si>
    <t>Materials Yields During Processing</t>
  </si>
  <si>
    <t>Total Cell Materials per Accepted Cell</t>
  </si>
  <si>
    <t>Positive electrode material (dry)</t>
  </si>
  <si>
    <t>Materials yield per accepted cell, %</t>
  </si>
  <si>
    <t>Cost Input</t>
  </si>
  <si>
    <t>Cell thickness, mm</t>
  </si>
  <si>
    <t>Cell Dimensions</t>
  </si>
  <si>
    <t>Width of cell, mm</t>
  </si>
  <si>
    <t>Length of cell, mm</t>
  </si>
  <si>
    <t>Width of positive electrode, mm</t>
  </si>
  <si>
    <t>Length of positive electrode, mm</t>
  </si>
  <si>
    <t>Required battery power, kW</t>
  </si>
  <si>
    <t>Battery power at 80 % OCV, kW</t>
  </si>
  <si>
    <t>C-rate at full power, A/Ah</t>
  </si>
  <si>
    <r>
      <t>Volume of cell, cm</t>
    </r>
    <r>
      <rPr>
        <vertAlign val="superscript"/>
        <sz val="10"/>
        <rFont val="Arial"/>
        <family val="2"/>
      </rPr>
      <t>3</t>
    </r>
  </si>
  <si>
    <t>Width of terminals, mm</t>
  </si>
  <si>
    <t>Open circuit voltage at 50% SOC, V</t>
  </si>
  <si>
    <t>Solid state diffusion limiting C-rate (10-s), A/Ah</t>
  </si>
  <si>
    <t xml:space="preserve">     At 50% SOC, 2-sec burst</t>
  </si>
  <si>
    <t xml:space="preserve">     At 50% SOC, 10-sec burst</t>
  </si>
  <si>
    <t>Module length, mm</t>
  </si>
  <si>
    <t>Module width, mm</t>
  </si>
  <si>
    <t>Module height, mm</t>
  </si>
  <si>
    <t xml:space="preserve">     Carbon</t>
  </si>
  <si>
    <t xml:space="preserve">Number of cells per module </t>
  </si>
  <si>
    <t>Number of modules in row</t>
  </si>
  <si>
    <t>Battery pack insulation thickness, mm</t>
  </si>
  <si>
    <t>Battery jacket total thickness, mm</t>
  </si>
  <si>
    <t>Solvent recovery</t>
  </si>
  <si>
    <t>Binder solvent (NMP) recovery (kg/yr)</t>
  </si>
  <si>
    <t>Binder solvent</t>
  </si>
  <si>
    <t>NMP</t>
  </si>
  <si>
    <t>Water</t>
  </si>
  <si>
    <t>Cell stacking (number of cells)</t>
  </si>
  <si>
    <t xml:space="preserve">     Binder Solvent</t>
  </si>
  <si>
    <t>Cell stacking</t>
  </si>
  <si>
    <r>
      <t>Positive current collector, $/m</t>
    </r>
    <r>
      <rPr>
        <vertAlign val="superscript"/>
        <sz val="10"/>
        <rFont val="Arial"/>
        <family val="2"/>
      </rPr>
      <t>2</t>
    </r>
  </si>
  <si>
    <r>
      <t>Negative current collector, $/m</t>
    </r>
    <r>
      <rPr>
        <vertAlign val="superscript"/>
        <sz val="10"/>
        <rFont val="Arial"/>
        <family val="2"/>
      </rPr>
      <t>2</t>
    </r>
  </si>
  <si>
    <t>Cell Assembly in Dry Room</t>
  </si>
  <si>
    <t xml:space="preserve">     Pertinent volume: dry room operating area, sq. meters</t>
  </si>
  <si>
    <t>Charge-Retention Testing</t>
  </si>
  <si>
    <t>Inter-process Materials Handling</t>
  </si>
  <si>
    <t>Electrode Slitting (positive and negative)</t>
  </si>
  <si>
    <t>Vacuum Drying of Electrodes</t>
  </si>
  <si>
    <r>
      <t>Dry room operating area, m</t>
    </r>
    <r>
      <rPr>
        <vertAlign val="superscript"/>
        <sz val="10"/>
        <rFont val="Arial"/>
        <family val="2"/>
      </rPr>
      <t>2</t>
    </r>
  </si>
  <si>
    <t xml:space="preserve">     Binder</t>
  </si>
  <si>
    <t>Dry Room Control (operating area, sq. meters)</t>
  </si>
  <si>
    <t>Warranty Cost, % added to price</t>
  </si>
  <si>
    <t>Dry room airlocks and management</t>
  </si>
  <si>
    <t>Length of terminal material, mm</t>
  </si>
  <si>
    <t>Thickness of terminal material, mm</t>
  </si>
  <si>
    <t>Length-to-width ratio for positive electrode</t>
  </si>
  <si>
    <t>Length of current collector tabs, mm</t>
  </si>
  <si>
    <t>Number of bicell layers (97% packing density)</t>
  </si>
  <si>
    <t>Module state-of-charge regulator assembly, g</t>
  </si>
  <si>
    <t>Module volume, L</t>
  </si>
  <si>
    <t>Top of positive electrode to top of terminal, mm</t>
  </si>
  <si>
    <t>Warranty</t>
  </si>
  <si>
    <t>Module Parameters</t>
  </si>
  <si>
    <t>Cell terminal contact voltage loss, % of cell OCV</t>
  </si>
  <si>
    <t>Module terminal resistance both terminals, ohms</t>
  </si>
  <si>
    <t>Resistance of module interconnects if more than one module, ohms</t>
  </si>
  <si>
    <t xml:space="preserve">Terminal heating factor, W/g </t>
  </si>
  <si>
    <t xml:space="preserve">   Vehicle range (miles)</t>
  </si>
  <si>
    <t>Restart (0/1)</t>
  </si>
  <si>
    <t xml:space="preserve">     Formation cycling, testing and sealing</t>
  </si>
  <si>
    <t xml:space="preserve">     Control laboratory</t>
  </si>
  <si>
    <t>Void, Vol% %</t>
  </si>
  <si>
    <t>Total unit cost per battery not including warranty, $</t>
  </si>
  <si>
    <t xml:space="preserve">     Selected % energy</t>
  </si>
  <si>
    <t>Number of cells in parallel</t>
  </si>
  <si>
    <t>OCV at full power, V</t>
  </si>
  <si>
    <t>Module terminals</t>
  </si>
  <si>
    <t>Terminal resistance factor, A-ohms/cm</t>
  </si>
  <si>
    <t xml:space="preserve">        Number of modules per pack</t>
  </si>
  <si>
    <t>Cell</t>
  </si>
  <si>
    <t>Stacking</t>
  </si>
  <si>
    <t xml:space="preserve">     Cost per battery jacket weight, $/kg</t>
  </si>
  <si>
    <t xml:space="preserve">        Number of modules per Pack</t>
  </si>
  <si>
    <t>Thickness of module compression plates (steel), mm</t>
  </si>
  <si>
    <t>Positive binder solvent evaporated, kg</t>
  </si>
  <si>
    <t>Negative binder solvent evaporated, kg</t>
  </si>
  <si>
    <t>Positive binder solvent evaporated, kg per year</t>
  </si>
  <si>
    <t>Negative binder solvent evaporated, kg per year</t>
  </si>
  <si>
    <t>Unit Cost of Modules for One Battery Pack, $</t>
  </si>
  <si>
    <t>Battery Pack Assembly and Testing, 100,000 Battery Packs per year</t>
  </si>
  <si>
    <t>Summary for Battery Pack</t>
  </si>
  <si>
    <t>Price for Modules Only</t>
  </si>
  <si>
    <t>LMO-LTO</t>
  </si>
  <si>
    <t>Summary for Cost of Modules Only</t>
  </si>
  <si>
    <t>Vehicle type (microHEV, HEV-HP, PHEV, EV)</t>
  </si>
  <si>
    <t>Useable battery energy storage, kWh</t>
  </si>
  <si>
    <t>Thickness of cell edge from positive electrode to outside of fold, mm</t>
  </si>
  <si>
    <t>Thermal Modeling</t>
  </si>
  <si>
    <t>Layer Thicknesses, microns</t>
  </si>
  <si>
    <t>Mass of battery pack less 50% of jacket mass kg</t>
  </si>
  <si>
    <t>Available energy, kWh</t>
  </si>
  <si>
    <t>Hydraulic diameter, Dh</t>
  </si>
  <si>
    <t>Total flow distance, cm</t>
  </si>
  <si>
    <t>Reynolds number</t>
  </si>
  <si>
    <t>Target pressure drop, bars</t>
  </si>
  <si>
    <t>Graetz number, Gz</t>
  </si>
  <si>
    <t>Mean Nusselt number, Nu</t>
  </si>
  <si>
    <t>Required rate of fluid flow, mL/sec</t>
  </si>
  <si>
    <t>Flow passage thickness, cm</t>
  </si>
  <si>
    <t>Fluid flow velocity, cm/sec</t>
  </si>
  <si>
    <t>Total efficiency of pump and motor, %</t>
  </si>
  <si>
    <t>Heat rejection per cell, W</t>
  </si>
  <si>
    <t>Length of aluminum conductor, cm</t>
  </si>
  <si>
    <t>Total conduction thickness including pouch aluminum, cm</t>
  </si>
  <si>
    <t>Thickness of cell, cm</t>
  </si>
  <si>
    <t>Width of cell, cm</t>
  </si>
  <si>
    <t>Thickness of cell edge, cm</t>
  </si>
  <si>
    <t>Battery Cooling System</t>
  </si>
  <si>
    <t>Volume, L</t>
  </si>
  <si>
    <t>System</t>
  </si>
  <si>
    <t>Density of cell container, g/cm3</t>
  </si>
  <si>
    <t>Thickness of cell container aluminum layer, µm</t>
  </si>
  <si>
    <t>Thickness of cell container (PET-Al-PP), µm</t>
  </si>
  <si>
    <t>Refrig 1</t>
  </si>
  <si>
    <t>Refrig 2</t>
  </si>
  <si>
    <t>Refrig 3</t>
  </si>
  <si>
    <t>Refrig 4</t>
  </si>
  <si>
    <t>Volume of ethylene glycol-50% water solution within battery, L</t>
  </si>
  <si>
    <t>Mass of ethylene glycol-50% water solution within battery, kg</t>
  </si>
  <si>
    <t>Cooling system power requirement, W</t>
  </si>
  <si>
    <t>Performance</t>
  </si>
  <si>
    <t>Coefficient</t>
  </si>
  <si>
    <t>Cell container, $/unit</t>
  </si>
  <si>
    <t xml:space="preserve">Aluminum thermal conductor </t>
  </si>
  <si>
    <t>HEV-HP Battery Packs</t>
  </si>
  <si>
    <t>Heating Under Adiabatic Conditions for Discharge of Available Energy for PHEV or EV Battery Packs</t>
  </si>
  <si>
    <t>Insulation thickness, cm</t>
  </si>
  <si>
    <t>Cooling</t>
  </si>
  <si>
    <t>Capacity, W</t>
  </si>
  <si>
    <t>PHEV</t>
  </si>
  <si>
    <t xml:space="preserve">     Cost per battery, $</t>
  </si>
  <si>
    <t>Added</t>
  </si>
  <si>
    <t>Power of battery heaters, kW</t>
  </si>
  <si>
    <t>Battery Jacket</t>
  </si>
  <si>
    <t>Heating and Cooling  Required for Maintaining Pack Temperature</t>
  </si>
  <si>
    <t>Heating during cold ambient conditions</t>
  </si>
  <si>
    <t>Cooling during hot ambient conditions</t>
  </si>
  <si>
    <t>Weight, kg</t>
  </si>
  <si>
    <r>
      <t>Thermal conductivity across cell layers, W/cm-</t>
    </r>
    <r>
      <rPr>
        <sz val="10"/>
        <rFont val="Arial"/>
        <family val="2"/>
      </rPr>
      <t>K</t>
    </r>
  </si>
  <si>
    <r>
      <t>Thermal conductivity of pack jacket insulation, W/cm-</t>
    </r>
    <r>
      <rPr>
        <sz val="10"/>
        <rFont val="Arial"/>
        <family val="2"/>
      </rPr>
      <t>K</t>
    </r>
  </si>
  <si>
    <t>Cooling System Parameters for Use of Vehicle Air Conditioner</t>
  </si>
  <si>
    <t xml:space="preserve">     Percent of building investment (20-year rate), % </t>
  </si>
  <si>
    <t>State-of-charge regulator and safety monitors</t>
  </si>
  <si>
    <t>Module Purchased Materials Cost</t>
  </si>
  <si>
    <t>Battery Purchased Materials Cost</t>
  </si>
  <si>
    <t>Module compression plates and steel straps, $,kg</t>
  </si>
  <si>
    <t xml:space="preserve">     Plus cost per capacity, $/A (rounded up)</t>
  </si>
  <si>
    <t>Module Inter-connectors and signal wiring</t>
  </si>
  <si>
    <t>Alum. heat conductor</t>
  </si>
  <si>
    <t>MicroHEV</t>
  </si>
  <si>
    <t>HEV-HP</t>
  </si>
  <si>
    <t>and EV</t>
  </si>
  <si>
    <t>Thermal Controls</t>
  </si>
  <si>
    <t>Module controls, $/module</t>
  </si>
  <si>
    <t>Current and voltage sensing, $</t>
  </si>
  <si>
    <t>Battery terminals</t>
  </si>
  <si>
    <t>Electrode Coating Thickness Calculation</t>
  </si>
  <si>
    <t>Auto. battery disconnect, $</t>
  </si>
  <si>
    <t>Manual disconnect, $</t>
  </si>
  <si>
    <t xml:space="preserve">     Plus cost per interconnect, $</t>
  </si>
  <si>
    <t>Battery current and voltage sensing, $</t>
  </si>
  <si>
    <t>Module controls</t>
  </si>
  <si>
    <t>Automatic battery disconnect, $</t>
  </si>
  <si>
    <t>Additions to AC system</t>
  </si>
  <si>
    <t>Price to OEM for battery pack, $</t>
  </si>
  <si>
    <t>Price to OEM for modules for one pack, $</t>
  </si>
  <si>
    <t xml:space="preserve">     % of direct labor</t>
  </si>
  <si>
    <t>Variable overhead rate</t>
  </si>
  <si>
    <t>Control laboratory</t>
  </si>
  <si>
    <t xml:space="preserve">     % of depreciation</t>
  </si>
  <si>
    <t>Cost to OEM for Materials and Purchased Items for Thermal Management System, $</t>
  </si>
  <si>
    <t>Default thickness of aluminum conductors, cm</t>
  </si>
  <si>
    <t>Override thickness of aluminum conductors, cm</t>
  </si>
  <si>
    <t>Power of heating elements, W</t>
  </si>
  <si>
    <t>microHEV battery packs, default heat generation</t>
  </si>
  <si>
    <t>Thermal Conductivities</t>
  </si>
  <si>
    <t>Battery power at target % OCV and SOC, kW</t>
  </si>
  <si>
    <t>Voltage drop for bus bar for packs with one row of modules, V</t>
  </si>
  <si>
    <t>Thermal Conductivities, W/cm-K</t>
  </si>
  <si>
    <t>Hardware Costs, $/unit</t>
  </si>
  <si>
    <t>NMC333-G</t>
  </si>
  <si>
    <t>Cooling of Modules with Ethylene Glycol-50% Water at Steady State</t>
  </si>
  <si>
    <t>Cooling of Modules</t>
  </si>
  <si>
    <t>Temperature Drop from Cell Center to Cell Wall at Steady State</t>
  </si>
  <si>
    <t>Width of channel, cm</t>
  </si>
  <si>
    <t>Width of channel support, cm</t>
  </si>
  <si>
    <t>Heat rejection per channel, W</t>
  </si>
  <si>
    <t>Required rate of fluid flow per flow channel, ml/sec</t>
  </si>
  <si>
    <t>Liquid-Cooled Battery Pack</t>
  </si>
  <si>
    <t>Pack Cooled with Cabin Air</t>
  </si>
  <si>
    <t>Total pressure drop through entrance and exit of pack, bar</t>
  </si>
  <si>
    <t>Width of air supply channels through pack, cm</t>
  </si>
  <si>
    <t>Module wall material</t>
  </si>
  <si>
    <t>Module wall thickness, mm</t>
  </si>
  <si>
    <t>Length of cooled section of cell (length of positive electrode), cm</t>
  </si>
  <si>
    <t>Total flow distance (L), cm</t>
  </si>
  <si>
    <t>Number of channels per cell group</t>
  </si>
  <si>
    <t>Thickness of air supply channel above and below modules, cm</t>
  </si>
  <si>
    <t>Required rate of air flow through pack, ml/sec</t>
  </si>
  <si>
    <t>Reynolds number, pack channels</t>
  </si>
  <si>
    <t>Target total pressure drop, bar</t>
  </si>
  <si>
    <t>Fraction of pressure drop through passages between cells, %</t>
  </si>
  <si>
    <t>Temperature Drop from Cell Wall to Bulk Air Coolant</t>
  </si>
  <si>
    <t>Coolant space above and below modules, mm</t>
  </si>
  <si>
    <t xml:space="preserve">     Plus cost per capacity, $/Ah</t>
  </si>
  <si>
    <t xml:space="preserve">     Cost per mass, $/kg</t>
  </si>
  <si>
    <t xml:space="preserve">   (or thermal group enclosure)</t>
  </si>
  <si>
    <t>Total efficiency of fan and motor at maximum flow rate, %</t>
  </si>
  <si>
    <t>Power to fan, W</t>
  </si>
  <si>
    <t xml:space="preserve">Temperature Drop From Cell Wall to Bulk Air Stream </t>
  </si>
  <si>
    <t>Thickness of aluminum conductor or thermal enclosure, mm</t>
  </si>
  <si>
    <t>Thickness of aluminum in thermal cell wrap, mm</t>
  </si>
  <si>
    <t>Thickness added by cell wrap, mm</t>
  </si>
  <si>
    <t>Total thickness of wrapped cell, mm</t>
  </si>
  <si>
    <t>Cell capacity, Ah</t>
  </si>
  <si>
    <t>Maximum allowable ASI for limiting capacity</t>
  </si>
  <si>
    <t>Capacity estimating parameter</t>
  </si>
  <si>
    <t>Sustained battery power, kW</t>
  </si>
  <si>
    <t>Heat generation, W or joules/sec</t>
  </si>
  <si>
    <t>Efficiency for discharge, %</t>
  </si>
  <si>
    <t>Maximum Sustained Heat Generation Rates in Battery Pack</t>
  </si>
  <si>
    <t xml:space="preserve">     Fraction of energy delivered through battery, %</t>
  </si>
  <si>
    <t>Equivalent total length of passages into and out of pack (Lp), cm</t>
  </si>
  <si>
    <t xml:space="preserve">     Power for accessories, kW</t>
  </si>
  <si>
    <t xml:space="preserve">     Battery resistance for sustained power, ohms</t>
  </si>
  <si>
    <t>Applicable battery resistance, ohms</t>
  </si>
  <si>
    <t>Designated constant speed at energy requirement, mph</t>
  </si>
  <si>
    <t xml:space="preserve">     Total Power at designated speed, kW</t>
  </si>
  <si>
    <t xml:space="preserve">     Power factor for rolling friction, kW/mph</t>
  </si>
  <si>
    <t xml:space="preserve">   EG-W = ethylene glycol - 50% water)</t>
  </si>
  <si>
    <t>Adequacy of Cooling</t>
  </si>
  <si>
    <t>Voltage on discharge, V</t>
  </si>
  <si>
    <t>Current on discharge, I</t>
  </si>
  <si>
    <r>
      <t xml:space="preserve">     Maximum temperature at center of hottest cells, </t>
    </r>
    <r>
      <rPr>
        <vertAlign val="superscript"/>
        <sz val="10"/>
        <rFont val="Arial"/>
        <family val="2"/>
      </rPr>
      <t>o</t>
    </r>
    <r>
      <rPr>
        <sz val="10"/>
        <rFont val="Arial"/>
        <family val="2"/>
      </rPr>
      <t>C</t>
    </r>
  </si>
  <si>
    <t>Target width of air flow channel, cm</t>
  </si>
  <si>
    <t>Hydraulic diameter (4*flow area/perimeter), Dh</t>
  </si>
  <si>
    <t>PHEV and EV Battery Packs</t>
  </si>
  <si>
    <t>Coolant Properties</t>
  </si>
  <si>
    <t>Temperature Drop from Cell Center to Module Wall (steady state)</t>
  </si>
  <si>
    <r>
      <t>Pressure drop, bars = 48*</t>
    </r>
    <r>
      <rPr>
        <sz val="10"/>
        <rFont val="Arial"/>
        <family val="2"/>
      </rPr>
      <t>µ*GL/(</t>
    </r>
    <r>
      <rPr>
        <sz val="10"/>
        <rFont val="Calibri"/>
        <family val="2"/>
      </rPr>
      <t>ρ</t>
    </r>
    <r>
      <rPr>
        <sz val="10"/>
        <rFont val="Arial"/>
        <family val="2"/>
      </rPr>
      <t>Dh^2)/1000000</t>
    </r>
  </si>
  <si>
    <t>Length of cell  sleeve, cm</t>
  </si>
  <si>
    <t>Thickness of pack extensions for air-cooled packs, mm</t>
  </si>
  <si>
    <t>Total volume of pack extensions for air-cooled packs, L</t>
  </si>
  <si>
    <t>Battery pack length (A dimension), mm</t>
  </si>
  <si>
    <t>Battery pack width (B dimension), mm</t>
  </si>
  <si>
    <t>Battery pack height (C dimension), mm</t>
  </si>
  <si>
    <t>Power into air to provide flow, W</t>
  </si>
  <si>
    <t>Number of modules in parallel</t>
  </si>
  <si>
    <t>Pressure drop through channels, bars = 48*µ*GL/(RhoDh^2)/1,000,000</t>
  </si>
  <si>
    <t>Number of battery packs manufactured per year</t>
  </si>
  <si>
    <t>Total unit cost per pack not including warranty, $</t>
  </si>
  <si>
    <t>Bus bar for packs with one row of modules or</t>
  </si>
  <si>
    <t xml:space="preserve">     multiple modules or packs in parallel, $ each</t>
  </si>
  <si>
    <t>Additional for parallel modules and packs, $ per string</t>
  </si>
  <si>
    <t>Additional for multiple packs, $/additional pack</t>
  </si>
  <si>
    <t>Number of packs per vehicle (parallel or series)</t>
  </si>
  <si>
    <t>Energy requirement of battery pack, Wh/mile</t>
  </si>
  <si>
    <t>Calculated Battery Pack Parameters</t>
  </si>
  <si>
    <t>Number of battery packs</t>
  </si>
  <si>
    <t>Battery system total energy storage, kWh</t>
  </si>
  <si>
    <t>Battery system power at target % OCV, kW</t>
  </si>
  <si>
    <t>Required battery system power, kW</t>
  </si>
  <si>
    <t xml:space="preserve">     Packs in series or parallel</t>
  </si>
  <si>
    <t>Nominal battery system voltage (OCV at 50% SOC),V</t>
  </si>
  <si>
    <t>Heat Transfer Fluid (CA = Cabin air, CoolA = Cooled air,</t>
  </si>
  <si>
    <t>Coolant Inlet Temperature</t>
  </si>
  <si>
    <t>Power to compressor, W</t>
  </si>
  <si>
    <t>Pack heat transfer fluid (EG-W, CA, CoolA )</t>
  </si>
  <si>
    <t>Battery system capacity, Ah</t>
  </si>
  <si>
    <t>Selected heat generation rate for pack, W</t>
  </si>
  <si>
    <t>Cooling system power requirement for entire battery system, W</t>
  </si>
  <si>
    <t>Heat Generation in Pack at Maximum Sustained Speed</t>
  </si>
  <si>
    <t>Cooling required at steady state per Pack, W</t>
  </si>
  <si>
    <t>Heat Input required at steady state per pack, W</t>
  </si>
  <si>
    <t>Cooling of Cells with Air at Steady State</t>
  </si>
  <si>
    <r>
      <t>Fluid flow velocity in channel (v</t>
    </r>
    <r>
      <rPr>
        <vertAlign val="subscript"/>
        <sz val="10"/>
        <rFont val="Arial"/>
        <family val="2"/>
      </rPr>
      <t>c</t>
    </r>
    <r>
      <rPr>
        <sz val="10"/>
        <rFont val="Arial"/>
        <family val="2"/>
      </rPr>
      <t>), cm/sec</t>
    </r>
  </si>
  <si>
    <r>
      <t>Fluid flow velocity in pack (v</t>
    </r>
    <r>
      <rPr>
        <vertAlign val="subscript"/>
        <sz val="10"/>
        <rFont val="Arial"/>
        <family val="2"/>
      </rPr>
      <t>p</t>
    </r>
    <r>
      <rPr>
        <sz val="10"/>
        <rFont val="Arial"/>
        <family val="2"/>
      </rPr>
      <t>), cm/sec</t>
    </r>
  </si>
  <si>
    <t>Entrance and exit losses, 2(vp2-vc2)/2*Rho, bar</t>
  </si>
  <si>
    <t>EG-W</t>
  </si>
  <si>
    <t>Number of rows of modules per pack</t>
  </si>
  <si>
    <t>Number of modules per battery pack</t>
  </si>
  <si>
    <t>Cells per battery pack</t>
  </si>
  <si>
    <t>Total cells per battery system</t>
  </si>
  <si>
    <t>Module capacity, Ah</t>
  </si>
  <si>
    <t>Total battery energy storage, kWh</t>
  </si>
  <si>
    <t>Number modules per battery pack</t>
  </si>
  <si>
    <t>Number of battery packs per vehicle</t>
  </si>
  <si>
    <t>Battery pack capacity, Ah</t>
  </si>
  <si>
    <t>Number of cells per pack</t>
  </si>
  <si>
    <t xml:space="preserve">     Designed battery pack power for short bursts, kW</t>
  </si>
  <si>
    <t>Power to compressor and pump for battery pack, W</t>
  </si>
  <si>
    <t>Heat required per pack, Wh</t>
  </si>
  <si>
    <t>Heat Required to Heat Battery Pack During Cold Start</t>
  </si>
  <si>
    <t>Additions to AC system**, $/kW</t>
  </si>
  <si>
    <t>**No charge for cabin air cooling</t>
  </si>
  <si>
    <t>Baseline thermal system*, $</t>
  </si>
  <si>
    <t>Heat generation rate for battery system, W</t>
  </si>
  <si>
    <t>Manual disconnect per pack, $</t>
  </si>
  <si>
    <t>Negative-to-positive electrode thickness ratio</t>
  </si>
  <si>
    <t>Module resistance , ohms</t>
  </si>
  <si>
    <t>Resistance of module and pack hardware per cell, ohms</t>
  </si>
  <si>
    <t>Resistance of module and pack per module, ohms</t>
  </si>
  <si>
    <t>Pack Capacity Calculation</t>
  </si>
  <si>
    <t xml:space="preserve">   Pack capacity (Ah)</t>
  </si>
  <si>
    <t xml:space="preserve">   Pack energy (kWh)</t>
  </si>
  <si>
    <t>Length of pack extensions for air cooled packs, mm</t>
  </si>
  <si>
    <t>*$60 additional for each added pack</t>
  </si>
  <si>
    <t>Battery System Values</t>
  </si>
  <si>
    <r>
      <t xml:space="preserve">     Solvent evaporated, kg/m</t>
    </r>
    <r>
      <rPr>
        <vertAlign val="superscript"/>
        <sz val="10"/>
        <rFont val="Arial"/>
        <family val="2"/>
      </rPr>
      <t>2</t>
    </r>
    <r>
      <rPr>
        <sz val="10"/>
        <rFont val="Arial"/>
        <family val="2"/>
      </rPr>
      <t>yr</t>
    </r>
  </si>
  <si>
    <t xml:space="preserve">     Vehicle power efficiency factor</t>
  </si>
  <si>
    <t>Default factors</t>
  </si>
  <si>
    <r>
      <t xml:space="preserve">Power Requirement from </t>
    </r>
    <r>
      <rPr>
        <u/>
        <sz val="10"/>
        <rFont val="Arial"/>
        <family val="2"/>
      </rPr>
      <t>Each Pack</t>
    </r>
    <r>
      <rPr>
        <sz val="10"/>
        <rFont val="Arial"/>
        <family val="2"/>
      </rPr>
      <t xml:space="preserve"> for Vehicle at </t>
    </r>
    <r>
      <rPr>
        <u/>
        <sz val="10"/>
        <rFont val="Arial"/>
        <family val="2"/>
      </rPr>
      <t>Designated Speed</t>
    </r>
  </si>
  <si>
    <t xml:space="preserve">     Pack resistance for sustained power, ohms</t>
  </si>
  <si>
    <t>Working capital (15% of annual variable costs), mil$</t>
  </si>
  <si>
    <t>Basic Cost Factors</t>
  </si>
  <si>
    <t>Breakdown of Cost with Overhead Items Distributed to Basic Cost Factors</t>
  </si>
  <si>
    <t>Building, Land and Utilities, square meters</t>
  </si>
  <si>
    <t>Capital equipment (100K packs/yr*)</t>
  </si>
  <si>
    <t>*For other production rates multiply by 100,000/rate</t>
  </si>
  <si>
    <t>Materials and Purchased Items Summary, $/Pack</t>
  </si>
  <si>
    <t>Building, land, utilities (100K packs/yr*)</t>
  </si>
  <si>
    <t>Materials and purchased items, $/pack</t>
  </si>
  <si>
    <t>Direct labor, $/pack</t>
  </si>
  <si>
    <t>Cost Breakdown Analysis</t>
  </si>
  <si>
    <t>Cost Breakdown with Overhead Distributed to Processes</t>
  </si>
  <si>
    <t xml:space="preserve">     At 20% SOC range, 10-sec burst</t>
  </si>
  <si>
    <t>Battery 6</t>
  </si>
  <si>
    <t>Battery 7</t>
  </si>
  <si>
    <t>Cell Materials Cost, $/cell</t>
  </si>
  <si>
    <t>Cost of Module Materials and Purchased Items, $/module</t>
  </si>
  <si>
    <t>Summary Breakdown to Basic Cost Factors</t>
  </si>
  <si>
    <t>Parameters for Finished Cell</t>
  </si>
  <si>
    <t>Multipliers for Overhead to Basic Costs</t>
  </si>
  <si>
    <t>Multiplier</t>
  </si>
  <si>
    <t>Number of 8-hr shifts per day (2 for shipping and receiving)</t>
  </si>
  <si>
    <t>Total cost to OEM for complete system, $</t>
  </si>
  <si>
    <t>Pack integration unit (BMS &amp; disconnects, ave. density = 1.0), kg</t>
  </si>
  <si>
    <t>Volume of battery pack and integration unit, L</t>
  </si>
  <si>
    <t>Battery system volume (all packs), L</t>
  </si>
  <si>
    <t>Number of modules per pack</t>
  </si>
  <si>
    <t>Battery  Pack Integration System</t>
  </si>
  <si>
    <t xml:space="preserve">     Percent of direct annual materials and purch.items cost, %</t>
  </si>
  <si>
    <t>Heating system**, $/kW/pack</t>
  </si>
  <si>
    <t>Vehicle requirements (Note: Not for design, but for estimating cooling requirements.)</t>
  </si>
  <si>
    <t>Mass, kg</t>
  </si>
  <si>
    <t>Mass of each cell group interconnect (copper), g</t>
  </si>
  <si>
    <t>Module mass, kg</t>
  </si>
  <si>
    <t>Mass of each module inter-connect (5-cm long), g</t>
  </si>
  <si>
    <t>Mass of module compression plates and steel straps, g</t>
  </si>
  <si>
    <t>Mass of bus bar for packs with one row of modules, g</t>
  </si>
  <si>
    <t>Battery coolant mass within jacket, kg</t>
  </si>
  <si>
    <t>Total mass of pack extensions for air-cooled packs, kg</t>
  </si>
  <si>
    <t>Mass of battery pack and integration unit, kg</t>
  </si>
  <si>
    <t>Battery system mass (all packs), kg</t>
  </si>
  <si>
    <t>Energy requirement for pack on UDDS, Wh/mile</t>
  </si>
  <si>
    <t>Energy requirement of vehicle on UDDS cycle (default = 250), Wh/mile</t>
  </si>
  <si>
    <t>Data to Meet USABC Guidelines</t>
  </si>
  <si>
    <t>Battery power, kW</t>
  </si>
  <si>
    <t>Cooling system power requirements, W</t>
  </si>
  <si>
    <t>USABC Parameters</t>
  </si>
  <si>
    <t>Subsystem</t>
  </si>
  <si>
    <t>Contents</t>
  </si>
  <si>
    <t>Cost, $</t>
  </si>
  <si>
    <t>Additions at Module Level</t>
  </si>
  <si>
    <t xml:space="preserve">     Module hardware</t>
  </si>
  <si>
    <t xml:space="preserve">     CSC</t>
  </si>
  <si>
    <t>Addition at Pack Level</t>
  </si>
  <si>
    <t>Total cost of battery management unit</t>
  </si>
  <si>
    <t xml:space="preserve">     Pack hardware</t>
  </si>
  <si>
    <t xml:space="preserve">     Thermal management system</t>
  </si>
  <si>
    <t xml:space="preserve">     High voltage wiring</t>
  </si>
  <si>
    <t>Cells</t>
  </si>
  <si>
    <t>Exterior Cooling System</t>
  </si>
  <si>
    <t>Total Battery Pack(s)</t>
  </si>
  <si>
    <t>Tray, compression structure, housing</t>
  </si>
  <si>
    <t>Number of cells per battery system</t>
  </si>
  <si>
    <t>Number of modules per battery system</t>
  </si>
  <si>
    <t>Number of packs per battery system</t>
  </si>
  <si>
    <t>Heaters, coolant</t>
  </si>
  <si>
    <t>Summary for Cost of Cells Only</t>
  </si>
  <si>
    <t>Total cost to OEM for addition to AC system</t>
  </si>
  <si>
    <t>Battery management, module balancing, 2-way comm</t>
  </si>
  <si>
    <t xml:space="preserve">     BMU &amp; Disconnects</t>
  </si>
  <si>
    <t>Additions to AC for thermal management</t>
  </si>
  <si>
    <t>Cell Fractions of Total Pack</t>
  </si>
  <si>
    <t>Price for Cells Only</t>
  </si>
  <si>
    <t>Housing, thermal conductors, terminals</t>
  </si>
  <si>
    <t>Cell-to-cell balancing, sensors, and low-voltage wiring</t>
  </si>
  <si>
    <t>Bussing between modules, and pack terminals</t>
  </si>
  <si>
    <t>Parameters in BatPaC</t>
  </si>
  <si>
    <t>Total Including Cooling System</t>
  </si>
  <si>
    <t>Width of space for gas release at back of module,, mm</t>
  </si>
  <si>
    <t>Total mass of polymer spacers for gas release, g</t>
  </si>
  <si>
    <t>Module enclosure, g</t>
  </si>
  <si>
    <t>Provision for gas release from modules, $/module</t>
  </si>
  <si>
    <t>Module enclosure materials</t>
  </si>
  <si>
    <t>Mass of battery pack heaters (0.2 kg/kW), kg</t>
  </si>
  <si>
    <t>Addition to cell thickness to adjust for whole number of electrodes</t>
  </si>
  <si>
    <t>Price to OEM for cells for one pack, $</t>
  </si>
  <si>
    <t>Unit Cost of Cells for One Battery Pack, $</t>
  </si>
  <si>
    <t>Price to OEM of cells for one pack , $</t>
  </si>
  <si>
    <t>Price  to OEM of modules for one pack, $</t>
  </si>
  <si>
    <t>Default cell thickness target, mm</t>
  </si>
  <si>
    <t>Override cell thickness target, mm</t>
  </si>
  <si>
    <r>
      <t xml:space="preserve">     Limiting temperature at center of hottest cell, </t>
    </r>
    <r>
      <rPr>
        <vertAlign val="superscript"/>
        <sz val="10"/>
        <rFont val="Arial"/>
        <family val="2"/>
      </rPr>
      <t>o</t>
    </r>
    <r>
      <rPr>
        <sz val="10"/>
        <rFont val="Arial"/>
        <family val="2"/>
      </rPr>
      <t>C</t>
    </r>
  </si>
  <si>
    <t xml:space="preserve">     Maximum sustained vehicle speed at maximum cell temperature, mph</t>
  </si>
  <si>
    <t xml:space="preserve">        Convergence parametert for vehicle speed</t>
  </si>
  <si>
    <t xml:space="preserve">        Calculated maximum speed (holding)</t>
  </si>
  <si>
    <t xml:space="preserve">     Convergence parametert for vehicle speed</t>
  </si>
  <si>
    <t xml:space="preserve">     Constant vehicle speed (holding)</t>
  </si>
  <si>
    <t>Time required for heat up with electic heater, min</t>
  </si>
  <si>
    <t>Thickness of air flow channel between cells, cm</t>
  </si>
  <si>
    <t>Battery jacket and hardware mass, kg</t>
  </si>
  <si>
    <t>Vehicle Electric Parameters</t>
  </si>
  <si>
    <t>Vehicle Speed Limited by Temperature</t>
  </si>
  <si>
    <t>Area determined by burst power at target % OCV</t>
  </si>
  <si>
    <t>ASI Calculations</t>
  </si>
  <si>
    <t>Limiting C-rate for power bursts, A/Ah</t>
  </si>
  <si>
    <t>EV</t>
  </si>
  <si>
    <t>Length of aluminum conductor or thermal enclosure around cells, mm</t>
  </si>
  <si>
    <t xml:space="preserve">     At 20% SOC range, 30-sec burst</t>
  </si>
  <si>
    <t>Designated duration of power pulse for application (10 or 2), s</t>
  </si>
  <si>
    <t>Rapid Charging of Electric Vehicles (EVs)</t>
  </si>
  <si>
    <t xml:space="preserve">Equivalent number of cells in series </t>
  </si>
  <si>
    <t>Target battery pack power, kW</t>
  </si>
  <si>
    <t>Total time charging 70% SOC (15 to 85% SOC, 82% useable), min</t>
  </si>
  <si>
    <t>Error bars on price to OEM for battery pack, ±%</t>
  </si>
  <si>
    <t>Open circuit voltage at 20% SOC, V</t>
  </si>
  <si>
    <t>Lithium Content</t>
  </si>
  <si>
    <t>Positive electrode, g Li/g active material</t>
  </si>
  <si>
    <t>Negative electrode, g Li/g active material</t>
  </si>
  <si>
    <t>Electrolyte (1.2M LiPF6), g Li/L electrolyte</t>
  </si>
  <si>
    <t>NMC622-G</t>
  </si>
  <si>
    <t>Active material molecular weight</t>
  </si>
  <si>
    <t>Summary of Battery Performance</t>
  </si>
  <si>
    <t>Design Details for Recovery Calculations</t>
  </si>
  <si>
    <t>Volume of electrolyte per cell, L</t>
  </si>
  <si>
    <t>Mass of positive electrode active material per cell, g</t>
  </si>
  <si>
    <t>Mass of negative electrode active material per cell, g</t>
  </si>
  <si>
    <t>Nickel, g/g active material</t>
  </si>
  <si>
    <t>Cobalt, g/g active material</t>
  </si>
  <si>
    <t>From Electrodes or Electrolyte</t>
  </si>
  <si>
    <t>As scrap metal from Cells, Modules, and Packs</t>
  </si>
  <si>
    <t>Balance of Battery</t>
  </si>
  <si>
    <t>Resistance of battery pack terminals (3-cm conductor length), ohm</t>
  </si>
  <si>
    <t>Mass of both battery pack terminals (75% copper, 25% ceramic), g</t>
  </si>
  <si>
    <t>Module terminal mass (total, 2-cm conductors,80% copper), g</t>
  </si>
  <si>
    <t>Lithium in electrolyte per cell, g</t>
  </si>
  <si>
    <t>Battery pack mass, kg</t>
  </si>
  <si>
    <t>Battery pack power at 80% OCV, kW</t>
  </si>
  <si>
    <t>Battery pack energy storage, kWh</t>
  </si>
  <si>
    <t>Number of cells per battery pack</t>
  </si>
  <si>
    <t>Recoverable Materials per Pack at End of Battery Life</t>
  </si>
  <si>
    <t xml:space="preserve">Temperature Drop From Center of Cell to Bulk Fluid </t>
  </si>
  <si>
    <t>Initial C-rate for charging (15 to 75% SOC), A/Ah</t>
  </si>
  <si>
    <t>Charging time for 60% addition to SOC (15 to 75% SOC), minutes</t>
  </si>
  <si>
    <t>Battery Impedance during charge for selected positive electrode thickness, ohms</t>
  </si>
  <si>
    <t>Open circuit voltage at 100% SOC, V</t>
  </si>
  <si>
    <t>Selected cell area including charging limits, if for EV batteries</t>
  </si>
  <si>
    <t>Charging Time</t>
  </si>
  <si>
    <t>Second C-rate for charging (75 to 85% SOC, 75% of initial rate), A/Ah</t>
  </si>
  <si>
    <t>Temperature Control</t>
  </si>
  <si>
    <t>Third C-rate for charging (85 to 95% SOC, 50% of initial rate), A/Ah</t>
  </si>
  <si>
    <t>Extra cost of meeting fast charging requirements, $</t>
  </si>
  <si>
    <t>Manganese, g/g active material</t>
  </si>
  <si>
    <r>
      <t xml:space="preserve">     Solvent evaporated, kg/m</t>
    </r>
    <r>
      <rPr>
        <vertAlign val="superscript"/>
        <sz val="10"/>
        <rFont val="Arial"/>
        <family val="2"/>
      </rPr>
      <t>2</t>
    </r>
  </si>
  <si>
    <t>Positive Active Material used in Plant, kg/day</t>
  </si>
  <si>
    <t>Plant Capacity, GWh</t>
  </si>
  <si>
    <t>*</t>
  </si>
  <si>
    <t>Formation Cycling, Testing and Cell Sealing</t>
  </si>
  <si>
    <t>Rack Loading</t>
  </si>
  <si>
    <t>Cell Sealing and Rack Unloading</t>
  </si>
  <si>
    <t>* If cell capacity is greater than 80 kWh, multiply equipment cost for this</t>
  </si>
  <si>
    <t xml:space="preserve">  step by 1.1.</t>
  </si>
  <si>
    <t>Rack Loading (number of cells/yr)</t>
  </si>
  <si>
    <t>Charge-Retention Testing (number of cells/yr)</t>
  </si>
  <si>
    <t>Cell Sealing and Rack Unloading (number of cells/yr)</t>
  </si>
  <si>
    <t>Total mass of aluminum heat conductors or thermal enclosures, g</t>
  </si>
  <si>
    <t>Total time charging 80% SOC (15 to 95% SOC, 94% useable), min</t>
  </si>
  <si>
    <r>
      <t xml:space="preserve">Fast charging  time for 60% </t>
    </r>
    <r>
      <rPr>
        <sz val="10"/>
        <rFont val="Symbol"/>
        <family val="1"/>
        <charset val="2"/>
      </rPr>
      <t>D</t>
    </r>
    <r>
      <rPr>
        <sz val="10"/>
        <rFont val="Arial"/>
        <family val="2"/>
      </rPr>
      <t>SOC, min</t>
    </r>
  </si>
  <si>
    <r>
      <t xml:space="preserve">Fast charging  time for 80% </t>
    </r>
    <r>
      <rPr>
        <sz val="10"/>
        <rFont val="Symbol"/>
        <family val="1"/>
        <charset val="2"/>
      </rPr>
      <t>D</t>
    </r>
    <r>
      <rPr>
        <sz val="10"/>
        <rFont val="Arial"/>
        <family val="2"/>
      </rPr>
      <t>SOC, min</t>
    </r>
  </si>
  <si>
    <t>Charging rate: 1C rate (0), desired charging time (1)</t>
  </si>
  <si>
    <t>Dow 561 Transformer Coolant</t>
  </si>
  <si>
    <t>Default Values (may be changed)</t>
  </si>
  <si>
    <t>Optonal Override</t>
  </si>
  <si>
    <t>Override heat generation rate, W</t>
  </si>
  <si>
    <t>Maximum charger power, kW</t>
  </si>
  <si>
    <t>Selected time charging 60% SOC (15 to 75% SOC, 71% useable), min</t>
  </si>
  <si>
    <t>Open circuit voltage at 80% SOC (mid SOC-HP), V</t>
  </si>
  <si>
    <t>Area determined by EV or PHEV charging</t>
  </si>
  <si>
    <t>Total pack energy storage, kWh</t>
  </si>
  <si>
    <t>Total battery system acceleration power, kW</t>
  </si>
  <si>
    <t>Total battery system energy, kWh</t>
  </si>
  <si>
    <t>Nominal battery system voltage, V</t>
  </si>
  <si>
    <t>Battery System Parameters</t>
  </si>
  <si>
    <t>Battery Pack Parameters</t>
  </si>
  <si>
    <t>Nominal pack voltage (OCV at 80% SOC for HEV-HP, 50% others)</t>
  </si>
  <si>
    <t>Number of battery systems manufactured per year</t>
  </si>
  <si>
    <t>Additional for parallel modules, $</t>
  </si>
  <si>
    <t xml:space="preserve">Basic Pack Design to Achieve Discharge Requirements </t>
  </si>
  <si>
    <t>Energy storage, kWh</t>
  </si>
  <si>
    <t>Open-circuit voltage at 50% SOC, V</t>
  </si>
  <si>
    <t>Open-circuit voltage at 20% SOC, V</t>
  </si>
  <si>
    <t>Heat generated charging 60% SOC (15 to 75% SOC, 71% useable), kWh</t>
  </si>
  <si>
    <t>Heat generated charging 80% SOC (15 to 95% SOC, 94% useable), kWh</t>
  </si>
  <si>
    <t>Heat content of pack at maximum allowed temperature above initial temp., kWh</t>
  </si>
  <si>
    <t>Charger power output for all packs, kW</t>
  </si>
  <si>
    <t>Volume of pack integration unit (BMS &amp; disconnects), L</t>
  </si>
  <si>
    <t>Recoverable Metals per Pack</t>
  </si>
  <si>
    <r>
      <rPr>
        <u/>
        <sz val="10"/>
        <rFont val="Arial"/>
        <family val="2"/>
      </rPr>
      <t>Steel,</t>
    </r>
    <r>
      <rPr>
        <sz val="10"/>
        <rFont val="Arial"/>
        <family val="2"/>
      </rPr>
      <t xml:space="preserve"> compression plates and straps, kg/pk</t>
    </r>
  </si>
  <si>
    <t>Total recoverable metals, kg/pk</t>
  </si>
  <si>
    <t>Graphite in electrodes, kg/pk</t>
  </si>
  <si>
    <t>Balance of electrodes (oxygen, binder, etc.), kg/pk</t>
  </si>
  <si>
    <t>Electrolyte (less lithium content), kg/pk</t>
  </si>
  <si>
    <t>Cell separators, kg/pk</t>
  </si>
  <si>
    <t>Multilayer, polymer/aluminum cell containers, kg/pk</t>
  </si>
  <si>
    <t>Pack insulation, kg/pk</t>
  </si>
  <si>
    <t>Coolant, kg/pk</t>
  </si>
  <si>
    <t>Electrical insulation, heaters, other, kg/pk</t>
  </si>
  <si>
    <t>Total battery pack mass (not including integration unit), kg/pk</t>
  </si>
  <si>
    <t>Cost of Battery Pack Materials and Purchased Items, $/pack</t>
  </si>
  <si>
    <t>Chemical Sciences and Engineering Division</t>
  </si>
  <si>
    <t>9700 S. Cass Avenue, Argonne IL 60439</t>
  </si>
  <si>
    <t>Current carrying capacity of pack terminals, A</t>
  </si>
  <si>
    <t>Column1</t>
  </si>
  <si>
    <t>microHEV</t>
  </si>
  <si>
    <t>Coolant Type</t>
  </si>
  <si>
    <t>Vehicle Type</t>
  </si>
  <si>
    <t>CA</t>
  </si>
  <si>
    <t>CoolA</t>
  </si>
  <si>
    <t>Electrode Pair</t>
  </si>
  <si>
    <t>Current Selection</t>
  </si>
  <si>
    <t>Battery Design</t>
  </si>
  <si>
    <t>EV Charging</t>
  </si>
  <si>
    <t>Fast Charge?</t>
  </si>
  <si>
    <t>Yes</t>
  </si>
  <si>
    <t>No</t>
  </si>
  <si>
    <t>INPUTS</t>
  </si>
  <si>
    <t>Types of Input by BatPaC User</t>
  </si>
  <si>
    <t xml:space="preserve">Automatic input (can only be changed in Dashboard or Chem) </t>
  </si>
  <si>
    <t>Default input values (may be changed)</t>
  </si>
  <si>
    <t>Required input by user</t>
  </si>
  <si>
    <t>Optional override input</t>
  </si>
  <si>
    <t>NMC532-G</t>
  </si>
  <si>
    <t>NMC811-G</t>
  </si>
  <si>
    <t xml:space="preserve">X = </t>
  </si>
  <si>
    <t xml:space="preserve">Y1 = </t>
  </si>
  <si>
    <t xml:space="preserve">Y2 = </t>
  </si>
  <si>
    <t>Power-to-energy ratio</t>
  </si>
  <si>
    <t>Production Volume</t>
  </si>
  <si>
    <t>Cells in series</t>
  </si>
  <si>
    <t>BMS</t>
  </si>
  <si>
    <t>PCB</t>
  </si>
  <si>
    <t>Connector-20 pin</t>
  </si>
  <si>
    <t>Connector-16 pin</t>
  </si>
  <si>
    <t>Conformal coating</t>
  </si>
  <si>
    <t>Main micro</t>
  </si>
  <si>
    <t>Crystal</t>
  </si>
  <si>
    <t>Flash memory</t>
  </si>
  <si>
    <t>V sense micro</t>
  </si>
  <si>
    <t>V sense ASIC</t>
  </si>
  <si>
    <t>CAN transceiver</t>
  </si>
  <si>
    <t>Common mode choke</t>
  </si>
  <si>
    <t>5V reference - main</t>
  </si>
  <si>
    <t>5V reference - Vsense</t>
  </si>
  <si>
    <t>Dual isolators</t>
  </si>
  <si>
    <t>Single optocouplers</t>
  </si>
  <si>
    <t>Buffers</t>
  </si>
  <si>
    <t>Schootky diode</t>
  </si>
  <si>
    <t>Diodes</t>
  </si>
  <si>
    <t>Resistors-0603</t>
  </si>
  <si>
    <t>Resistors - 0805</t>
  </si>
  <si>
    <t>Resistors - 1206</t>
  </si>
  <si>
    <t>Eletrolytic capacitor</t>
  </si>
  <si>
    <t>Ceramic capacitor-0603</t>
  </si>
  <si>
    <t>Ceramic capacitor-0805</t>
  </si>
  <si>
    <t>Ceramic capacitor-1206</t>
  </si>
  <si>
    <t>Transistors</t>
  </si>
  <si>
    <t>Resistor jumper</t>
  </si>
  <si>
    <t>BMS enclosure</t>
  </si>
  <si>
    <t>Contactor control</t>
  </si>
  <si>
    <t>BDU electronics/Power electronics</t>
  </si>
  <si>
    <t>Contactor - main</t>
  </si>
  <si>
    <t>Contactor - aux</t>
  </si>
  <si>
    <t>Precharge Contactor</t>
  </si>
  <si>
    <t>Precharge resistor</t>
  </si>
  <si>
    <t>Service disconnect</t>
  </si>
  <si>
    <t>Service disconnect fuse</t>
  </si>
  <si>
    <t>Charger fuse</t>
  </si>
  <si>
    <t>Current sensor</t>
  </si>
  <si>
    <t>Interfaces between electronics systems</t>
  </si>
  <si>
    <t>HV connector</t>
  </si>
  <si>
    <t>Disconnect housing and wiring</t>
  </si>
  <si>
    <t>Charger connector</t>
  </si>
  <si>
    <t>LV connector</t>
  </si>
  <si>
    <t>HV wiring</t>
  </si>
  <si>
    <t>LV wiring</t>
  </si>
  <si>
    <t>Module electronics</t>
  </si>
  <si>
    <t>Sense line fuses</t>
  </si>
  <si>
    <t>Temperature sensors</t>
  </si>
  <si>
    <t>Sense PCB</t>
  </si>
  <si>
    <t>Thermal management electronics</t>
  </si>
  <si>
    <t>Temperature sensors (1 for inlet, 1 for outlet)</t>
  </si>
  <si>
    <t>Component per ASIC</t>
  </si>
  <si>
    <t>Dual isolaters</t>
  </si>
  <si>
    <t>N-2</t>
  </si>
  <si>
    <t>12 ASICs require 10, 11 require 9…</t>
  </si>
  <si>
    <t>Electrolytic cap</t>
  </si>
  <si>
    <t>One for every 2 ASICs</t>
  </si>
  <si>
    <t>One location per 6 ASICs</t>
  </si>
  <si>
    <t>5V ref-Vsense</t>
  </si>
  <si>
    <t>Estimates from total board count</t>
  </si>
  <si>
    <t>Resistors-0805</t>
  </si>
  <si>
    <t>Resistors-1206</t>
  </si>
  <si>
    <t>Main components</t>
  </si>
  <si>
    <t>5V ref-main</t>
  </si>
  <si>
    <t>Schottky diode</t>
  </si>
  <si>
    <t>Resistor jumper 0805</t>
  </si>
  <si>
    <t>BMS enclsoure</t>
  </si>
  <si>
    <t>Units or Pieces per Pack</t>
  </si>
  <si>
    <t>Units or Pieces per Year</t>
  </si>
  <si>
    <t>Price per Piece at Plant Production Volume</t>
  </si>
  <si>
    <t>Cost per Pack</t>
  </si>
  <si>
    <t>Baseline Price, $/unit</t>
  </si>
  <si>
    <t>Baseline Volume,     # of units</t>
  </si>
  <si>
    <t>Main components-BMS</t>
  </si>
  <si>
    <t>Height  mm</t>
  </si>
  <si>
    <t>Length  mm</t>
  </si>
  <si>
    <t>Width   mm</t>
  </si>
  <si>
    <r>
      <t>Volume  mm</t>
    </r>
    <r>
      <rPr>
        <vertAlign val="superscript"/>
        <sz val="10"/>
        <rFont val="Arial"/>
        <family val="2"/>
      </rPr>
      <t>3</t>
    </r>
  </si>
  <si>
    <t>Volume    L</t>
  </si>
  <si>
    <t>BMS volume(L) +10% for enclosure</t>
  </si>
  <si>
    <t>Charge fuse</t>
  </si>
  <si>
    <t>8 cell ASIC (Selected)</t>
  </si>
  <si>
    <t>No. of Units</t>
  </si>
  <si>
    <t>Volume added per ASIC</t>
  </si>
  <si>
    <t>Power electronics volume (L)+30% for enclosure</t>
  </si>
  <si>
    <t>Volume    L/unit</t>
  </si>
  <si>
    <t>Precharge contactor</t>
  </si>
  <si>
    <t>Cotactor - aux</t>
  </si>
  <si>
    <t>Mass    g/unit</t>
  </si>
  <si>
    <t>Mass        g</t>
  </si>
  <si>
    <t>BMS weight (grams) +10% for enclosure</t>
  </si>
  <si>
    <t>Power electronics weight (grams) +30% for enclosure</t>
  </si>
  <si>
    <t>ASIC No. of Cells</t>
  </si>
  <si>
    <t>No. of Cells per ASIC</t>
  </si>
  <si>
    <t>NMC622</t>
  </si>
  <si>
    <t>NMC333</t>
  </si>
  <si>
    <t>List of Variables</t>
  </si>
  <si>
    <t>Name</t>
  </si>
  <si>
    <t>Abreviation</t>
  </si>
  <si>
    <t>Value</t>
  </si>
  <si>
    <t>Units</t>
  </si>
  <si>
    <t>Boltzmann constant</t>
  </si>
  <si>
    <t>k_b</t>
  </si>
  <si>
    <t>J/K</t>
  </si>
  <si>
    <t>Avogadro constant</t>
  </si>
  <si>
    <t>N_a</t>
  </si>
  <si>
    <t>mol -1</t>
  </si>
  <si>
    <t>Gas Constant</t>
  </si>
  <si>
    <t>R</t>
  </si>
  <si>
    <t>J/(mol K)</t>
  </si>
  <si>
    <t>Density of Al</t>
  </si>
  <si>
    <t>rho_Al</t>
  </si>
  <si>
    <t>g/cm^3</t>
  </si>
  <si>
    <t>Density of Cu</t>
  </si>
  <si>
    <t>rho_Cu</t>
  </si>
  <si>
    <t>Density of PP</t>
  </si>
  <si>
    <t>rho_PP</t>
  </si>
  <si>
    <t>Density of PET</t>
  </si>
  <si>
    <t>rho_PET</t>
  </si>
  <si>
    <t>Heat Capacity of Cu</t>
  </si>
  <si>
    <t>Cp_Cu</t>
  </si>
  <si>
    <t>J/(g K)</t>
  </si>
  <si>
    <t>Heat Capacity of Al</t>
  </si>
  <si>
    <t>Cp_Al</t>
  </si>
  <si>
    <t>Density of PE</t>
  </si>
  <si>
    <t>rho_PE</t>
  </si>
  <si>
    <t>Chemistry</t>
  </si>
  <si>
    <t>ID #</t>
  </si>
  <si>
    <t>System ID</t>
  </si>
  <si>
    <t>Notes</t>
  </si>
  <si>
    <t>Description</t>
  </si>
  <si>
    <t>Property</t>
  </si>
  <si>
    <t>Applied Value</t>
  </si>
  <si>
    <t>Default Value</t>
  </si>
  <si>
    <t>Li</t>
  </si>
  <si>
    <t>Ni</t>
  </si>
  <si>
    <t>Mn</t>
  </si>
  <si>
    <t>Co</t>
  </si>
  <si>
    <t>Al</t>
  </si>
  <si>
    <t>Fe</t>
  </si>
  <si>
    <t>P</t>
  </si>
  <si>
    <t>Ti</t>
  </si>
  <si>
    <t>O</t>
  </si>
  <si>
    <t>S</t>
  </si>
  <si>
    <t>C</t>
  </si>
  <si>
    <t>NMC532</t>
  </si>
  <si>
    <t>NMC811</t>
  </si>
  <si>
    <t>NCA</t>
  </si>
  <si>
    <t>LFP</t>
  </si>
  <si>
    <t>LMO</t>
  </si>
  <si>
    <t>LTO</t>
  </si>
  <si>
    <t>G</t>
  </si>
  <si>
    <t># of Chemistries in Library</t>
  </si>
  <si>
    <t>List of Chemistries Couples in Library</t>
  </si>
  <si>
    <t>Molecular Weight Calculations</t>
  </si>
  <si>
    <t>MW (g/mol)</t>
  </si>
  <si>
    <t>Atom</t>
  </si>
  <si>
    <t>Atomic MW</t>
  </si>
  <si>
    <t>BatPaC Default</t>
  </si>
  <si>
    <t>Unit</t>
  </si>
  <si>
    <t>Absolute</t>
  </si>
  <si>
    <t>Conductivity of Cu</t>
  </si>
  <si>
    <t>(S/m)</t>
  </si>
  <si>
    <t>Conductivity of Al</t>
  </si>
  <si>
    <t>Conductivity_Cu</t>
  </si>
  <si>
    <t>Conductivity_Al</t>
  </si>
  <si>
    <t>Density of Steel</t>
  </si>
  <si>
    <t>rho_steel</t>
  </si>
  <si>
    <t>Thermal Conductivity of Al</t>
  </si>
  <si>
    <t>therm_cond_Al</t>
  </si>
  <si>
    <t>W/cm-K</t>
  </si>
  <si>
    <t>therm_cond_Cu</t>
  </si>
  <si>
    <t>Thermal Conductivity of Cu</t>
  </si>
  <si>
    <t xml:space="preserve">Default Values are for ethylene glycol-50% water solution </t>
  </si>
  <si>
    <t>Actual Capacity mAh/g</t>
  </si>
  <si>
    <t>Theoretical Capacity mAh/g</t>
  </si>
  <si>
    <t xml:space="preserve">Electrolyte </t>
  </si>
  <si>
    <t>Cost of Materials</t>
  </si>
  <si>
    <t xml:space="preserve">      Binder Solvent</t>
  </si>
  <si>
    <t xml:space="preserve">      Binder</t>
  </si>
  <si>
    <t>Recycling (g X/g active material)</t>
  </si>
  <si>
    <t>Electrochemical Properties</t>
  </si>
  <si>
    <t>Costs</t>
  </si>
  <si>
    <t>Calculation and Validation</t>
  </si>
  <si>
    <t>Summary of Results and Graphing</t>
  </si>
  <si>
    <t>Full Name</t>
  </si>
  <si>
    <t>LiNi0.80Co0.15Al0.05O2-Graphite</t>
  </si>
  <si>
    <t xml:space="preserve">Li1.05(Ni1/3Mn1/3Co1/3)0.95O2 </t>
  </si>
  <si>
    <t>Li1.05(Ni0.6Mn0.2Co0.2)0.95O2</t>
  </si>
  <si>
    <t>LiFePO4</t>
  </si>
  <si>
    <t>Li4Ti5O12</t>
  </si>
  <si>
    <t>Graphite</t>
  </si>
  <si>
    <t>NMC333/x%LMO-G</t>
  </si>
  <si>
    <t>Li1.05(Ni0.5Mn0.3Co0.2)0.95O2</t>
  </si>
  <si>
    <t>Li1.05(Ni0.8Mn0.1Co0.1)0.95O2</t>
  </si>
  <si>
    <t>Calculated Battery  Parameters</t>
  </si>
  <si>
    <t>Couple Name</t>
  </si>
  <si>
    <t>Automatic input (Change using overrides)</t>
  </si>
  <si>
    <t>Results</t>
  </si>
  <si>
    <t>Selected Chemistry - Choose a Chemistry in Dashboard</t>
  </si>
  <si>
    <t>#</t>
  </si>
  <si>
    <t>Choose</t>
  </si>
  <si>
    <t>Calculate Fast Charging?</t>
  </si>
  <si>
    <t>Minimum Value Between batteries 1-7</t>
  </si>
  <si>
    <t>Maximum Value Between Batteries 1-7</t>
  </si>
  <si>
    <t>Carbon Black</t>
  </si>
  <si>
    <t>OR</t>
  </si>
  <si>
    <t>CTRL+ SHIFT + R if Macro Enabled to Reconverge Calculation</t>
  </si>
  <si>
    <t>Default Values for HEV-HP</t>
  </si>
  <si>
    <t>Default Values for PHEV</t>
  </si>
  <si>
    <t>Default Values of EV</t>
  </si>
  <si>
    <t>Chem</t>
  </si>
  <si>
    <t>Tab</t>
  </si>
  <si>
    <t>x</t>
  </si>
  <si>
    <t>Location</t>
  </si>
  <si>
    <t>Number of Parameters on a given Tab</t>
  </si>
  <si>
    <t>B</t>
  </si>
  <si>
    <t>x Location</t>
  </si>
  <si>
    <t>A</t>
  </si>
  <si>
    <t>BMU</t>
  </si>
  <si>
    <t>Thermal</t>
  </si>
  <si>
    <t>Recycle</t>
  </si>
  <si>
    <t xml:space="preserve"> Battery 4</t>
  </si>
  <si>
    <t>DASHBOARD</t>
  </si>
  <si>
    <t>Total time charging 60% SOC (15 to 75% SOC, 71% useable), min</t>
  </si>
  <si>
    <t>Summary of Charging Times (for EV)</t>
  </si>
  <si>
    <t>Summary Box (Can be moved/dragged around)</t>
  </si>
  <si>
    <t>Add X to add to Summary of Results Worksheet</t>
  </si>
  <si>
    <t>Manganese-Spinel</t>
  </si>
  <si>
    <t>Baseline Plant Summary</t>
  </si>
  <si>
    <t>Hardware Costs: Positive terminal assembly $/unit</t>
  </si>
  <si>
    <t>Hardware Costs: Negative terminal assembly $/unit</t>
  </si>
  <si>
    <t>Hardware Costs: Cell container $/unit</t>
  </si>
  <si>
    <t>Cost of Pack Integration</t>
  </si>
  <si>
    <t xml:space="preserve">To use this worksheet, go through Chem, EV Charging, Battery Design, BMU, Thermal Manufacturing Costs, Prices of Cells and Modules, Cost Breakdown, and Recycle and place "x" into the designated collumn to collate the selected data from those tabs here. Then, place the next highest integer that has not been used yet to the value you want brought into Dashboard. If you use a repeated value, the Cell will turn Red. </t>
  </si>
  <si>
    <t>X</t>
  </si>
  <si>
    <t>Mass of battery pack less 50% of jacket mass, kg</t>
  </si>
  <si>
    <t>Cost of BMU, $</t>
  </si>
  <si>
    <t>Volume of BMU, L</t>
  </si>
  <si>
    <t>Mass of BMU, kg</t>
  </si>
  <si>
    <t>Lithium in Electrodes and Electrolyte, kg/kWh</t>
  </si>
  <si>
    <t>AE</t>
  </si>
  <si>
    <t>Charger Power, kW</t>
  </si>
  <si>
    <t>Cell capacity inadequate if X</t>
  </si>
  <si>
    <t>Negative Foil Properties</t>
  </si>
  <si>
    <t>Default values for Micro HEV</t>
  </si>
  <si>
    <t>Summary of Input/Output</t>
  </si>
  <si>
    <t>Number of Values</t>
  </si>
  <si>
    <t># of Values</t>
  </si>
  <si>
    <t>Number of Parameters</t>
  </si>
  <si>
    <t>Battery</t>
  </si>
  <si>
    <t>Negative electrode, $/kg</t>
  </si>
  <si>
    <t>This is a supplied set of data from BatPaC</t>
  </si>
  <si>
    <t>Default is 50/50 NMC 532 and LMO</t>
  </si>
  <si>
    <t>Mixing Values</t>
  </si>
  <si>
    <t>% is mass based</t>
  </si>
  <si>
    <t>Energy requirement for a UDDS cycle, Wh/mile</t>
  </si>
  <si>
    <t>Time to recharge from 15% to 75% SOC, min</t>
  </si>
  <si>
    <t>Building investment, mil$</t>
  </si>
  <si>
    <t>Maximum price to OEM for battery pack, $</t>
  </si>
  <si>
    <t>Minimum price to OEM for battery pack, $</t>
  </si>
  <si>
    <t>Thickness, mm</t>
  </si>
  <si>
    <t>Table of Results and Graphable Data</t>
  </si>
  <si>
    <t xml:space="preserve">This sheet provides the series of lists that are in the document and where they are pulled from. </t>
  </si>
  <si>
    <t>&lt;&lt;&lt;Please confirm these values by using CTRL + SHIFT + F twice (turn fast charge off, then turn it back on)</t>
  </si>
  <si>
    <t>Number of packs manufactured per year</t>
  </si>
  <si>
    <t>Current Value</t>
  </si>
  <si>
    <t>Default Values</t>
  </si>
  <si>
    <t>Pack Design Adjustments Needed for Rapid Charging</t>
  </si>
  <si>
    <t>Default input values (can be changed by using Override)</t>
  </si>
  <si>
    <t xml:space="preserve">Limiting current for ionic diffuison </t>
  </si>
  <si>
    <t>https://www.anl.gov/cse/batpac-model-software</t>
  </si>
  <si>
    <t>Cost of cells, $/kWhUse</t>
  </si>
  <si>
    <t>Pack voltage, V</t>
  </si>
  <si>
    <t>Pack power, kW</t>
  </si>
  <si>
    <t>Pack total energy, kWh</t>
  </si>
  <si>
    <t>Pack capacity, Ah</t>
  </si>
  <si>
    <t>Pack total mass, kg</t>
  </si>
  <si>
    <t>Pack specific energy, Wh/kg</t>
  </si>
  <si>
    <t>Pack volume, L</t>
  </si>
  <si>
    <t>Pack energy density, Wh/L</t>
  </si>
  <si>
    <t>Pack power to energy ratio</t>
  </si>
  <si>
    <t>Cell mass, kg</t>
  </si>
  <si>
    <t>Cell specific energy, Wh/kg</t>
  </si>
  <si>
    <t>Cell volume, L</t>
  </si>
  <si>
    <t>Cell energy density, Wh/L</t>
  </si>
  <si>
    <t>Positive electrode thickness, µm</t>
  </si>
  <si>
    <t>Negative electrode thickness, µm</t>
  </si>
  <si>
    <t>Cost rate: 5% of direct annual materials + 10% of other annual costs</t>
  </si>
  <si>
    <t xml:space="preserve">Materials and purchased items </t>
  </si>
  <si>
    <t>Nominal battery system voltage (OCV at 50% SOC), V</t>
  </si>
  <si>
    <t>Total cost of cells, $/kWh</t>
  </si>
  <si>
    <t>Unit cost of cell materials, $/pack</t>
  </si>
  <si>
    <t>Unit cost of cell purchased items, $/pack</t>
  </si>
  <si>
    <t>Unit cost of materials and purchased items for pack modules, $/pack</t>
  </si>
  <si>
    <t>Unit cost of materials and purchased items at pack level, $/pack</t>
  </si>
  <si>
    <t>Total costs of materials and purchased items for pack, $/pack</t>
  </si>
  <si>
    <t>Direct labor: electrode processing, $/pack</t>
  </si>
  <si>
    <t>Direct labor: cell assembly, $/pack</t>
  </si>
  <si>
    <t xml:space="preserve">Direct labor: module and battery assembly, $/pack </t>
  </si>
  <si>
    <t xml:space="preserve">Direct labor: cell and materials rejection and recycling, $/pack </t>
  </si>
  <si>
    <t>Direct labor: control laboratory, $/pack</t>
  </si>
  <si>
    <t>Direct labor: total, $/pack</t>
  </si>
  <si>
    <t>Variable overhead cost, $/pack</t>
  </si>
  <si>
    <t>Total variable cost, $/pack</t>
  </si>
  <si>
    <t>General, sales, administration, $/pack</t>
  </si>
  <si>
    <t>Research and development, $/pack</t>
  </si>
  <si>
    <t>Depreciation, $/pack</t>
  </si>
  <si>
    <t>Total fixed expenses, $/pack</t>
  </si>
  <si>
    <t>Profits after taxes, $/pack</t>
  </si>
  <si>
    <t>Total cost of materials, $/pack</t>
  </si>
  <si>
    <t xml:space="preserve">Total cost of purchased items, $/pack </t>
  </si>
  <si>
    <t xml:space="preserve">Total cost of direct labor, $/pack                    </t>
  </si>
  <si>
    <t xml:space="preserve">Cost of variable overhead, $/pack  </t>
  </si>
  <si>
    <t>Cost of general, sales, administration, $/pack</t>
  </si>
  <si>
    <t>Cost of research and development, $/pack</t>
  </si>
  <si>
    <t>Cost of depreciation, $/pack</t>
  </si>
  <si>
    <t xml:space="preserve">Per unit profit, $/pack </t>
  </si>
  <si>
    <t>Warranty (includes battery pack(s) only), $/pack</t>
  </si>
  <si>
    <t>Pack integration (BMU &amp; disconnects), $/pack</t>
  </si>
  <si>
    <t>Total battery pack cost to OEM, $</t>
  </si>
  <si>
    <t>Additions to AC for thermal management, $/pack</t>
  </si>
  <si>
    <t>Errors in unit materials and processing costs, ±%</t>
  </si>
  <si>
    <t>Errors in electrode thickness and capacity limits, ±%</t>
  </si>
  <si>
    <t>Setting 0 will illiminate error messages, and setting back to 1 will allow the workbook to itterativly find the thickness of the cathode</t>
  </si>
  <si>
    <t>Cost of pack to OEM, $</t>
  </si>
  <si>
    <t>Costof  pack to OEM, $/kWh</t>
  </si>
  <si>
    <t>Approximate target power for 30-sec pulse (EV application), kW</t>
  </si>
  <si>
    <t>Estimated pack power at target % OCV, kW</t>
  </si>
  <si>
    <t>Launch cost total, mil$</t>
  </si>
  <si>
    <t>Negative active material per cell, g</t>
  </si>
  <si>
    <r>
      <t>Positive foil per cell, m</t>
    </r>
    <r>
      <rPr>
        <vertAlign val="superscript"/>
        <sz val="10"/>
        <rFont val="Arial"/>
        <family val="2"/>
      </rPr>
      <t>2</t>
    </r>
  </si>
  <si>
    <r>
      <t>Negative foil per cell, m</t>
    </r>
    <r>
      <rPr>
        <vertAlign val="superscript"/>
        <sz val="10"/>
        <rFont val="Arial"/>
        <family val="2"/>
      </rPr>
      <t>2</t>
    </r>
  </si>
  <si>
    <r>
      <t>Separator per cell, m</t>
    </r>
    <r>
      <rPr>
        <vertAlign val="superscript"/>
        <sz val="10"/>
        <rFont val="Arial"/>
        <family val="2"/>
      </rPr>
      <t>2</t>
    </r>
  </si>
  <si>
    <t>Electrolyte per cell, L</t>
  </si>
  <si>
    <t>Cell positive terminal assembly, g</t>
  </si>
  <si>
    <t>Cell negative terminal assembly, g</t>
  </si>
  <si>
    <t>Mass of cell container (PET-Al-PP), g</t>
  </si>
  <si>
    <t>Cell OCV at full power, V</t>
  </si>
  <si>
    <r>
      <t xml:space="preserve">Rate of temperature rise of module  terminal at full power, </t>
    </r>
    <r>
      <rPr>
        <vertAlign val="superscript"/>
        <sz val="10"/>
        <rFont val="Arial"/>
        <family val="2"/>
      </rPr>
      <t>o</t>
    </r>
    <r>
      <rPr>
        <sz val="10"/>
        <rFont val="Arial"/>
        <family val="2"/>
      </rPr>
      <t>C/sec</t>
    </r>
  </si>
  <si>
    <t xml:space="preserve">Module capacity, Ah </t>
  </si>
  <si>
    <t>Cell current collector resistance parameter, ohms</t>
  </si>
  <si>
    <t>This data set considers a mix of two Positive electrodes. Change values in Chem!AY7:AY9</t>
  </si>
  <si>
    <t>Positive electrode 1</t>
  </si>
  <si>
    <t>% Positive electrode 1</t>
  </si>
  <si>
    <t>Positive electrode 2</t>
  </si>
  <si>
    <t>Positive electrode active material</t>
  </si>
  <si>
    <t>Positive electrode active material molecular weight</t>
  </si>
  <si>
    <t>Positive electrode active material capacity, mAh/g:</t>
  </si>
  <si>
    <t>Positive electrode carbon addtive weight %</t>
  </si>
  <si>
    <t>Positive electrode binder weight %</t>
  </si>
  <si>
    <t>Binder solvent for positive electrode</t>
  </si>
  <si>
    <t>Positive foil material</t>
  </si>
  <si>
    <r>
      <t xml:space="preserve">Positive foil thickness, </t>
    </r>
    <r>
      <rPr>
        <sz val="14"/>
        <rFont val="Symbol"/>
        <family val="1"/>
        <charset val="2"/>
      </rPr>
      <t>m</t>
    </r>
    <r>
      <rPr>
        <sz val="14"/>
        <rFont val="Arial"/>
        <family val="2"/>
      </rPr>
      <t>m</t>
    </r>
  </si>
  <si>
    <t>Add 5% silicon to negative electrode?</t>
  </si>
  <si>
    <t>Negative electrode active</t>
  </si>
  <si>
    <t>Negative electrode active material capacity, mAh/g:</t>
  </si>
  <si>
    <t>Negative electrode active weight %</t>
  </si>
  <si>
    <t>Negative electrode carbon addtive weight %</t>
  </si>
  <si>
    <t>Negative electrode binder weight %</t>
  </si>
  <si>
    <t>Negative foil thickness</t>
  </si>
  <si>
    <t>Negative foil material</t>
  </si>
  <si>
    <t>Separator void, Vol% %</t>
  </si>
  <si>
    <t>Cost of active material for positive electrode, $/kg</t>
  </si>
  <si>
    <t>Cost of carbon additive for positive electrode, $/kg</t>
  </si>
  <si>
    <t>Li in positive electrode</t>
  </si>
  <si>
    <t>Li in negative electrode</t>
  </si>
  <si>
    <t>Cost of binder for positive electrode $/kg</t>
  </si>
  <si>
    <t>Positive electrode, $/kg</t>
  </si>
  <si>
    <t>Cost of solvent of positive electrode $/kg</t>
  </si>
  <si>
    <t>Cost of active material for negative electrode, $/kg</t>
  </si>
  <si>
    <t>Cost of carbon additive for negative electrode, $/kg</t>
  </si>
  <si>
    <t>Cost of binder for negative electrode $/kg</t>
  </si>
  <si>
    <t>Cost of solvent of negative electrode $/kg</t>
  </si>
  <si>
    <t xml:space="preserve">     Binder solvent (NMP)</t>
  </si>
  <si>
    <t xml:space="preserve">     Carbon black</t>
  </si>
  <si>
    <t xml:space="preserve">     Binder solvent</t>
  </si>
  <si>
    <t>Pack energy, kWh</t>
  </si>
  <si>
    <t>Power to energy ratio, kW/kWh</t>
  </si>
  <si>
    <r>
      <t>Pack energy (Useable), kWh</t>
    </r>
    <r>
      <rPr>
        <vertAlign val="subscript"/>
        <sz val="10"/>
        <rFont val="Arial"/>
        <family val="2"/>
      </rPr>
      <t>(Useable)</t>
    </r>
  </si>
  <si>
    <t>Pack mass, kg</t>
  </si>
  <si>
    <t>Cell mass, kg/cell</t>
  </si>
  <si>
    <t>Cell volume, L/cell</t>
  </si>
  <si>
    <t>Pack cost to OEM, $/kWh</t>
  </si>
  <si>
    <r>
      <t>Pack cost to OEM, $/kWh</t>
    </r>
    <r>
      <rPr>
        <vertAlign val="subscript"/>
        <sz val="10"/>
        <rFont val="Arial"/>
        <family val="2"/>
      </rPr>
      <t>(Useable)</t>
    </r>
  </si>
  <si>
    <t>Pack cost to OEM, US$</t>
  </si>
  <si>
    <t>Cell cost to OEM, US$/Cell</t>
  </si>
  <si>
    <t>Cell cost to OEM, US$/kWh</t>
  </si>
  <si>
    <r>
      <t>Cell cost to OEM, US$/kWh</t>
    </r>
    <r>
      <rPr>
        <vertAlign val="subscript"/>
        <sz val="10"/>
        <rFont val="Arial"/>
        <family val="2"/>
      </rPr>
      <t>(Useable)</t>
    </r>
  </si>
  <si>
    <t>Pack to cell cost ratio</t>
  </si>
  <si>
    <t>Area of pack cells in parallel when including fast charging limits, cm²</t>
  </si>
  <si>
    <t>Positive electrode thickness required for charging, µm</t>
  </si>
  <si>
    <t>Maximum positive elecrode thickness limited by Li deposition during charging, µm</t>
  </si>
  <si>
    <t>Thickness limiting (Discharge requirements, LI Deposition or charger power)</t>
  </si>
  <si>
    <t>Desired charging time, min</t>
  </si>
  <si>
    <t>Minimum charging time for selected positive electrode thickness, min</t>
  </si>
  <si>
    <t>Charging time limited by charger power, min</t>
  </si>
  <si>
    <t>Charging time limited by charger power (holding), min</t>
  </si>
  <si>
    <t>Charging efficiency (∆SOC=60%), %</t>
  </si>
  <si>
    <t>Charging efficiency (∆SOC=80%), %</t>
  </si>
  <si>
    <t>Total battery cost to OEM for battery designed for fast charging, $</t>
  </si>
  <si>
    <t>Total battery cost to OEM for battery designed for discharge, $</t>
  </si>
  <si>
    <t>Total battery cost to OEM for battery designed for discharge (holding)</t>
  </si>
  <si>
    <t>Number of packs</t>
  </si>
  <si>
    <t>Cost of batteries designed for fast charging, $</t>
  </si>
  <si>
    <t xml:space="preserve">Direct labor: receiving and shipping, $/pack </t>
  </si>
  <si>
    <t>Direct labor: formation cycling, testing and sealing, $/pack</t>
  </si>
  <si>
    <t>Mass of cooling system exterior to battery packs, kg</t>
  </si>
  <si>
    <t>Volume of cooling system exterior to battery packs, L</t>
  </si>
  <si>
    <t>Mass and volume of cooling system exterior to battery packs</t>
  </si>
  <si>
    <t>Cooling system</t>
  </si>
  <si>
    <t>Convergence constant</t>
  </si>
  <si>
    <t>Positive electrode thickness, µm (holding)</t>
  </si>
  <si>
    <t>Convergence constant for positive electrode thickness</t>
  </si>
  <si>
    <t>Capacity convergence constant</t>
  </si>
  <si>
    <t>Addition to cell thickness (holding)</t>
  </si>
  <si>
    <t>Cost of materials, $/pack</t>
  </si>
  <si>
    <t xml:space="preserve">Cost of negative active material, $/pack </t>
  </si>
  <si>
    <t>Cost of positive active material, $/pack</t>
  </si>
  <si>
    <t>Cost of carbon black, $/pack</t>
  </si>
  <si>
    <t>Cost of positive current collector, $/pack</t>
  </si>
  <si>
    <t>Cost of negative current collector, $/pack</t>
  </si>
  <si>
    <t>Cost of separators, $/pack</t>
  </si>
  <si>
    <t>Cost of electrolyte, $/pack</t>
  </si>
  <si>
    <t>Cost of cell hardware, $/pack</t>
  </si>
  <si>
    <t>Cost of module hardware, $/pack</t>
  </si>
  <si>
    <t>Cost of battery jacket, $/pack</t>
  </si>
  <si>
    <t>Total cost of materials and purchased items, $/pack</t>
  </si>
  <si>
    <t>Cost of battery management system</t>
  </si>
  <si>
    <t>Cost of thermal management system</t>
  </si>
  <si>
    <t>Argonne National laboratory</t>
  </si>
  <si>
    <t xml:space="preserve">        Direct labor, hours/year</t>
  </si>
  <si>
    <t>Direct labor, hours/year</t>
  </si>
  <si>
    <t>Direct labor</t>
  </si>
  <si>
    <t xml:space="preserve">Direct labor                     </t>
  </si>
  <si>
    <t>Total Direct labor, hours/year</t>
  </si>
  <si>
    <t>Positive electrode Active Material, kg</t>
  </si>
  <si>
    <t>Positive electrode Carbon additive, kg</t>
  </si>
  <si>
    <t>Positive electrode Binder solvent, kg per year</t>
  </si>
  <si>
    <t>Positive electrode carbon additive</t>
  </si>
  <si>
    <t>Total for positive electrode (dry)</t>
  </si>
  <si>
    <t>Packs in series or parallel?</t>
  </si>
  <si>
    <t>Total building, land and utilities area, m²</t>
  </si>
  <si>
    <t>Adequacy of cooling</t>
  </si>
  <si>
    <t>Cathode thickness limited by</t>
  </si>
  <si>
    <t>Capacity requirements met?</t>
  </si>
  <si>
    <t xml:space="preserve">    Actual capacity</t>
  </si>
  <si>
    <t>Chosen time to recharge met (60% SOC)?</t>
  </si>
  <si>
    <t xml:space="preserve">    Actual time to recharge (min)</t>
  </si>
  <si>
    <t>Optional positive electrode thickness override</t>
  </si>
  <si>
    <t>Positive active material specific capacity, mAh/g</t>
  </si>
  <si>
    <t>Void volume fraction,  %</t>
  </si>
  <si>
    <t>Maximum positive electrode thickness, µm</t>
  </si>
  <si>
    <t>Negative active material specific capacity, mAh/g</t>
  </si>
  <si>
    <t>Negative current collector thickness, µm</t>
  </si>
  <si>
    <r>
      <rPr>
        <b/>
        <sz val="16"/>
        <rFont val="Arial"/>
        <family val="2"/>
      </rPr>
      <t>Separator</t>
    </r>
    <r>
      <rPr>
        <sz val="16"/>
        <rFont val="Arial"/>
        <family val="2"/>
      </rPr>
      <t xml:space="preserve"> thickness, µm</t>
    </r>
  </si>
  <si>
    <t>Lithium in electrodes and electrolyte, kg/pk</t>
  </si>
  <si>
    <t>Nickel in positive electrode, kg/pk</t>
  </si>
  <si>
    <t>Cobalt in positive electrode, kg/pk</t>
  </si>
  <si>
    <t>Manganese in positive electrodes, kg/pk</t>
  </si>
  <si>
    <t>Nickel in positive electrode, kg/kWh</t>
  </si>
  <si>
    <t>Cobalt in positive electrode, kg/kWh</t>
  </si>
  <si>
    <t>Manganese in positive electrode, kg/kWh</t>
  </si>
  <si>
    <t>Aluminum in cell current collectors, kg/pk</t>
  </si>
  <si>
    <t>Aluminum in cell terminals, kg/pk</t>
  </si>
  <si>
    <t>Aluminum in module enclosures, kg/pk</t>
  </si>
  <si>
    <t>Aluminum in battery enclosure, kg/pk</t>
  </si>
  <si>
    <t>Total aluminum content, kg/pk</t>
  </si>
  <si>
    <t>Aluminum content, kg/kWh</t>
  </si>
  <si>
    <t>Aluminum in thermal conductors, kg/pk</t>
  </si>
  <si>
    <t>Copper in cell current collectors, kg/pk</t>
  </si>
  <si>
    <t xml:space="preserve"> Copper in cell terminals, kg/pk</t>
  </si>
  <si>
    <t xml:space="preserve"> Copper in cell group interconnects for parallel connected cells, kg/pk</t>
  </si>
  <si>
    <t xml:space="preserve"> Copper in module terminals, kg/pk</t>
  </si>
  <si>
    <t xml:space="preserve"> Copper in module interconnects, kg/pk</t>
  </si>
  <si>
    <t xml:space="preserve"> Copper in pack terminals, kg/pk</t>
  </si>
  <si>
    <t>Total copper content, kg/pk</t>
  </si>
  <si>
    <t>Copper content, kg/kWh</t>
  </si>
  <si>
    <t>Cost of cell purchased Items, $/pack</t>
  </si>
  <si>
    <t>Cost of cell materials $/pack</t>
  </si>
  <si>
    <t>Cost of module, $/pack</t>
  </si>
  <si>
    <t>Direct labor for electrode processing, $/pack</t>
  </si>
  <si>
    <t>Direct labor for cell assembly, $/pack</t>
  </si>
  <si>
    <t>Direct labor for formation cycling, testing and sealing, $/pack</t>
  </si>
  <si>
    <t>Direct labor for module assembly and testing, $/pack</t>
  </si>
  <si>
    <t>Direct labor for rejection and recycling, $/pack</t>
  </si>
  <si>
    <t>Direct labor for receiving and shipping, $/pack</t>
  </si>
  <si>
    <t>Direct labor for control laboratory, $/pack</t>
  </si>
  <si>
    <t>Total direct labor costs, $/pack</t>
  </si>
  <si>
    <t>Cost of total fixed expenses, $/pack</t>
  </si>
  <si>
    <t>Profits after taxes $/pack</t>
  </si>
  <si>
    <t>Total unit cost per battery not including warranty, $/pack</t>
  </si>
  <si>
    <t>Cost of purchased Items, $/pack</t>
  </si>
  <si>
    <t>Cost of variable overhead, $/pack</t>
  </si>
  <si>
    <t>Profit , $/pack</t>
  </si>
  <si>
    <t>Warranty, $/pack</t>
  </si>
  <si>
    <t>Total building investment, mil$</t>
  </si>
  <si>
    <t>Total launch cost, mil$</t>
  </si>
  <si>
    <t>5% of direct annual materials + 10% of other annual costs</t>
  </si>
  <si>
    <t>Materials and Purchased Items (cells only $/pack)</t>
  </si>
  <si>
    <t>Cost of cell materials, (cells only $/pack)</t>
  </si>
  <si>
    <t>Cost of cell purchased Items, (cells only $/pack)</t>
  </si>
  <si>
    <t>ASI at 50% SOC, 2-sec burst</t>
  </si>
  <si>
    <t>ASI 50% SOC, 10-sec burst</t>
  </si>
  <si>
    <t>ASI at 20% SOC range, 10-sec burst</t>
  </si>
  <si>
    <t>ASI at 20% SOC range, 30-sec burst</t>
  </si>
  <si>
    <t>Selected ASI value</t>
  </si>
  <si>
    <t>Positive electrode composition, Weight %</t>
  </si>
  <si>
    <t>Negative electrode composition, Weight %</t>
  </si>
  <si>
    <t>Parallel packs (P) or series (S)</t>
  </si>
  <si>
    <t>Carbon additive for positive electrode, g/cell</t>
  </si>
  <si>
    <t>Positive active material, g/cell</t>
  </si>
  <si>
    <t>Positive electrode binder, g/cell</t>
  </si>
  <si>
    <t>Positive electrode void fraction, %</t>
  </si>
  <si>
    <t>Total positive electrode coating, g/cell</t>
  </si>
  <si>
    <t>Carbon additive for negative electrode, g/cell</t>
  </si>
  <si>
    <t>Negative electrode binder, g/cell</t>
  </si>
  <si>
    <t>Negative electrode void fraction, %</t>
  </si>
  <si>
    <t>Total negative electrode coating, g/cell</t>
  </si>
  <si>
    <t>Production volume, packs per year</t>
  </si>
  <si>
    <t xml:space="preserve">        Plant area, square meters</t>
  </si>
  <si>
    <t>Plant area, square meters</t>
  </si>
  <si>
    <t>Total Plant area, square meters</t>
  </si>
  <si>
    <t xml:space="preserve">        Capital equipment, million$</t>
  </si>
  <si>
    <t>Capital equipment, million$</t>
  </si>
  <si>
    <t>Capital equipment Summary, $millions</t>
  </si>
  <si>
    <t xml:space="preserve">     Percent of Capital equipment investment (6-year rate), %</t>
  </si>
  <si>
    <t>Total Capital equipment, million$</t>
  </si>
  <si>
    <t>Module Inter-connectors and signal wiring, $/pack</t>
  </si>
  <si>
    <t>Module compression plates and steel straps, $/pack</t>
  </si>
  <si>
    <t>Battery terminals, $/pack</t>
  </si>
  <si>
    <t>Bus bar for battery packs with one row of modules, $/pack</t>
  </si>
  <si>
    <t>Bus bars for battery packs with parallel modules, $/pack</t>
  </si>
  <si>
    <t>Bus bars for interconnecting multiple battery packs, $/pack</t>
  </si>
  <si>
    <t>Baseline thermal system, $/pack</t>
  </si>
  <si>
    <t>Heating system, $/pack</t>
  </si>
  <si>
    <t>Battery jacket, $/pack</t>
  </si>
  <si>
    <t>Total cost per battery pack, $/pack</t>
  </si>
  <si>
    <t>Total cost of materials for cells and battery pack, $, $/pack</t>
  </si>
  <si>
    <t>Aluminum thermal conductors (each), $/module</t>
  </si>
  <si>
    <t>Aluminum thermal conductors/module $/module</t>
  </si>
  <si>
    <t>Cell group interconnects (copper) $/module</t>
  </si>
  <si>
    <t>Module state-of-charge regulator, $/module</t>
  </si>
  <si>
    <t>Module terminals, $/module</t>
  </si>
  <si>
    <t>Provision for gas release, $/module</t>
  </si>
  <si>
    <t>Module enclosure, $/module</t>
  </si>
  <si>
    <t>Total cost per module materials and purchased items, $/module</t>
  </si>
  <si>
    <t>Negative electrode Binder , $/cell</t>
  </si>
  <si>
    <t>Positive electrode binder, $/cell</t>
  </si>
  <si>
    <t>Positive electrode active material, $/cell</t>
  </si>
  <si>
    <t>Positive electrode carbon additive, $/cell</t>
  </si>
  <si>
    <t>Positive electrode binder solvent (NMP), $/cell</t>
  </si>
  <si>
    <t>Negative electrode carbon additive, $/cell</t>
  </si>
  <si>
    <t>Negative electrode active material, $/cell</t>
  </si>
  <si>
    <t>Positive current collector, $/cell</t>
  </si>
  <si>
    <t>Negative current collector, $/cell</t>
  </si>
  <si>
    <t>Separators, $/cell</t>
  </si>
  <si>
    <t>Electrolyte, $/cell</t>
  </si>
  <si>
    <t>Total cost of cell winding materials, $/cell</t>
  </si>
  <si>
    <t>Total cost of cell materials, $/cell</t>
  </si>
  <si>
    <t>Number of positive terminal assemblies</t>
  </si>
  <si>
    <t>Number of negative terminal assemblies</t>
  </si>
  <si>
    <t>Number of cell containers</t>
  </si>
  <si>
    <t>Positive electrode active material, g/cell</t>
  </si>
  <si>
    <t>Positive electrode binder</t>
  </si>
  <si>
    <t xml:space="preserve">Positive electrode binder solvent </t>
  </si>
  <si>
    <r>
      <t>Positive current collector, m</t>
    </r>
    <r>
      <rPr>
        <vertAlign val="superscript"/>
        <sz val="10"/>
        <rFont val="Arial"/>
        <family val="2"/>
      </rPr>
      <t>2</t>
    </r>
  </si>
  <si>
    <r>
      <t>Negative current collector, m</t>
    </r>
    <r>
      <rPr>
        <vertAlign val="superscript"/>
        <sz val="10"/>
        <rFont val="Arial"/>
        <family val="2"/>
      </rPr>
      <t>2</t>
    </r>
  </si>
  <si>
    <t>Positive electrode Binder, kg</t>
  </si>
  <si>
    <t>Negative electrode active material</t>
  </si>
  <si>
    <t xml:space="preserve">Negative electrode carbon additive </t>
  </si>
  <si>
    <t xml:space="preserve">Negative electrode binder </t>
  </si>
  <si>
    <t>Negative electrode binder solvent</t>
  </si>
  <si>
    <t>Total for negative electrode (dry)</t>
  </si>
  <si>
    <t>Negative electrode active Material, kg</t>
  </si>
  <si>
    <t>Negative electrode carbon additve, kg</t>
  </si>
  <si>
    <t>Negative electrode binder, kg</t>
  </si>
  <si>
    <t>Positive electrode carbon additive, $/kg</t>
  </si>
  <si>
    <t>Positive electrode binder, $/kg</t>
  </si>
  <si>
    <t>Positive electrode binder solvent, $/kg</t>
  </si>
  <si>
    <t>Positive electrode active material, $/kg</t>
  </si>
  <si>
    <t>Negative electrode active material, $/kg</t>
  </si>
  <si>
    <t>Negative electrode carbon additive, $/kg</t>
  </si>
  <si>
    <t>Negative electrode binder, $/kg</t>
  </si>
  <si>
    <t xml:space="preserve">Cost of direct labor, $/pack              </t>
  </si>
  <si>
    <t>Positive electrode active material weight %</t>
  </si>
  <si>
    <t>Void, vol% of positive electrode</t>
  </si>
  <si>
    <r>
      <t>Material Density, g/cm</t>
    </r>
    <r>
      <rPr>
        <b/>
        <i/>
        <vertAlign val="superscript"/>
        <sz val="11"/>
        <rFont val="Arial"/>
        <family val="2"/>
      </rPr>
      <t>3</t>
    </r>
  </si>
  <si>
    <r>
      <t>Density, g/cm</t>
    </r>
    <r>
      <rPr>
        <u/>
        <vertAlign val="superscript"/>
        <sz val="11"/>
        <rFont val="Times New Roman"/>
        <family val="1"/>
      </rPr>
      <t>3</t>
    </r>
  </si>
  <si>
    <r>
      <t>Positive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</si>
  <si>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 xml:space="preserve">Positive foil thickness, </t>
    </r>
    <r>
      <rPr>
        <sz val="11"/>
        <rFont val="Symbol"/>
        <family val="1"/>
        <charset val="2"/>
      </rPr>
      <t>m</t>
    </r>
    <r>
      <rPr>
        <sz val="11"/>
        <rFont val="Arial"/>
        <family val="2"/>
      </rPr>
      <t>m</t>
    </r>
  </si>
  <si>
    <r>
      <t>Negative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</si>
  <si>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 xml:space="preserve">Separator thickness, </t>
    </r>
    <r>
      <rPr>
        <sz val="11"/>
        <rFont val="Symbol"/>
        <family val="1"/>
        <charset val="2"/>
      </rPr>
      <t>m</t>
    </r>
    <r>
      <rPr>
        <sz val="11"/>
        <rFont val="Arial"/>
        <family val="2"/>
      </rPr>
      <t>m</t>
    </r>
  </si>
  <si>
    <r>
      <t>Density, g/cm</t>
    </r>
    <r>
      <rPr>
        <vertAlign val="superscript"/>
        <sz val="11"/>
        <rFont val="Times New Roman"/>
        <family val="1"/>
      </rPr>
      <t>3</t>
    </r>
  </si>
  <si>
    <r>
      <t>Electrolyte density, g/cm</t>
    </r>
    <r>
      <rPr>
        <b/>
        <vertAlign val="superscript"/>
        <sz val="11"/>
        <rFont val="Times New Roman"/>
        <family val="1"/>
      </rPr>
      <t>3</t>
    </r>
  </si>
  <si>
    <r>
      <t>ASI associated with interfacial effects, ohm-cm</t>
    </r>
    <r>
      <rPr>
        <vertAlign val="superscript"/>
        <sz val="11"/>
        <rFont val="Times New Roman"/>
        <family val="1"/>
      </rPr>
      <t>2</t>
    </r>
  </si>
  <si>
    <r>
      <t xml:space="preserve">Ratio of electrode thickness to penetration, </t>
    </r>
    <r>
      <rPr>
        <sz val="11"/>
        <rFont val="Symbol"/>
        <family val="1"/>
        <charset val="2"/>
      </rPr>
      <t>g</t>
    </r>
  </si>
  <si>
    <r>
      <t>DcF/(1-t</t>
    </r>
    <r>
      <rPr>
        <vertAlign val="subscript"/>
        <sz val="11"/>
        <rFont val="Arial"/>
        <family val="2"/>
      </rPr>
      <t>+</t>
    </r>
    <r>
      <rPr>
        <sz val="11"/>
        <rFont val="Arial"/>
        <family val="2"/>
      </rPr>
      <t>), A/cm</t>
    </r>
  </si>
  <si>
    <r>
      <t>Electrode system ASI for power, ohm-cm</t>
    </r>
    <r>
      <rPr>
        <vertAlign val="superscript"/>
        <sz val="11"/>
        <rFont val="Times New Roman"/>
        <family val="1"/>
      </rPr>
      <t>2</t>
    </r>
  </si>
  <si>
    <r>
      <t>Electrode system ASI for energy, ohm-cm</t>
    </r>
    <r>
      <rPr>
        <vertAlign val="superscript"/>
        <sz val="11"/>
        <rFont val="Times New Roman"/>
        <family val="1"/>
      </rPr>
      <t>2</t>
    </r>
  </si>
  <si>
    <r>
      <t>Maximum charging current density, mA/cm</t>
    </r>
    <r>
      <rPr>
        <vertAlign val="superscript"/>
        <sz val="11"/>
        <rFont val="Times New Roman"/>
        <family val="1"/>
      </rPr>
      <t>2</t>
    </r>
  </si>
  <si>
    <r>
      <t>Positive current collector foil, $/m</t>
    </r>
    <r>
      <rPr>
        <vertAlign val="superscript"/>
        <sz val="11"/>
        <rFont val="Times New Roman"/>
        <family val="1"/>
      </rPr>
      <t>2</t>
    </r>
  </si>
  <si>
    <r>
      <t>Negative current collector foil, $/m</t>
    </r>
    <r>
      <rPr>
        <vertAlign val="superscript"/>
        <sz val="11"/>
        <rFont val="Times New Roman"/>
        <family val="1"/>
      </rPr>
      <t>2</t>
    </r>
  </si>
  <si>
    <r>
      <t>Separators, $/m</t>
    </r>
    <r>
      <rPr>
        <vertAlign val="superscript"/>
        <sz val="11"/>
        <rFont val="Times New Roman"/>
        <family val="1"/>
      </rPr>
      <t>2</t>
    </r>
  </si>
  <si>
    <t>Direct labor: cell assembly, hours/year</t>
  </si>
  <si>
    <t>Thick., mm</t>
  </si>
  <si>
    <t>Area of pack cells in parallel, based on constant discharge, cm²</t>
  </si>
  <si>
    <t>Positive electrode thickness to meet discharge requirements and C/1 charging, µm</t>
  </si>
  <si>
    <t>Pack charging time for 60% ΔSOC, min</t>
  </si>
  <si>
    <t>Pack charging time for 80% ΔSOC, min</t>
  </si>
  <si>
    <r>
      <t>Pack useable pack energy, kWh</t>
    </r>
    <r>
      <rPr>
        <vertAlign val="subscript"/>
        <sz val="10"/>
        <rFont val="Arial"/>
        <family val="2"/>
      </rPr>
      <t>Use</t>
    </r>
  </si>
  <si>
    <r>
      <t>Cost of pack to OEM, $/kWh</t>
    </r>
    <r>
      <rPr>
        <vertAlign val="subscript"/>
        <sz val="10"/>
        <rFont val="Arial"/>
        <family val="2"/>
      </rPr>
      <t>Use</t>
    </r>
  </si>
  <si>
    <r>
      <t>Cost of cells, $/kWh</t>
    </r>
    <r>
      <rPr>
        <vertAlign val="subscript"/>
        <sz val="10"/>
        <rFont val="Arial"/>
        <family val="2"/>
      </rPr>
      <t>Use</t>
    </r>
  </si>
  <si>
    <r>
      <t>Building, land and utilities: area, m</t>
    </r>
    <r>
      <rPr>
        <vertAlign val="superscript"/>
        <sz val="10"/>
        <rFont val="Arial"/>
        <family val="2"/>
      </rPr>
      <t>2</t>
    </r>
  </si>
  <si>
    <t>Optional override available in Dashboard, µm</t>
  </si>
  <si>
    <t>Determined by power at target OCV, µm</t>
  </si>
  <si>
    <t>Determined by charging limits (if EV or PHEV), µm</t>
  </si>
  <si>
    <t>Area determined by positive thickness override, cm</t>
  </si>
  <si>
    <r>
      <t xml:space="preserve">Positive electrode thickness, </t>
    </r>
    <r>
      <rPr>
        <u/>
        <sz val="10"/>
        <rFont val="Calibri"/>
        <family val="2"/>
      </rPr>
      <t>µ</t>
    </r>
    <r>
      <rPr>
        <u/>
        <sz val="10"/>
        <rFont val="Arial"/>
        <family val="2"/>
      </rPr>
      <t>m</t>
    </r>
  </si>
  <si>
    <t>Pack current to meet charging time requirement for 60% SOC, A</t>
  </si>
  <si>
    <t>Pack current limited by lithium deposition, A</t>
  </si>
  <si>
    <r>
      <t xml:space="preserve">Positive Electrode Thickness Minimum Values for Discharge, </t>
    </r>
    <r>
      <rPr>
        <sz val="10"/>
        <rFont val="Calibri"/>
        <family val="2"/>
      </rPr>
      <t>µ</t>
    </r>
    <r>
      <rPr>
        <i/>
        <sz val="10"/>
        <rFont val="Arial"/>
        <family val="2"/>
      </rPr>
      <t>m</t>
    </r>
  </si>
  <si>
    <t>Selected Electrode Thicknesses, µm</t>
  </si>
  <si>
    <t>% OCV at full power adjusted for thickness limit, %</t>
  </si>
  <si>
    <r>
      <t xml:space="preserve">     Area, m</t>
    </r>
    <r>
      <rPr>
        <vertAlign val="superscript"/>
        <sz val="10"/>
        <color theme="9" tint="-0.499984740745262"/>
        <rFont val="Arial"/>
        <family val="2"/>
      </rPr>
      <t>2</t>
    </r>
  </si>
  <si>
    <r>
      <t xml:space="preserve">     Cost, $/m</t>
    </r>
    <r>
      <rPr>
        <vertAlign val="superscript"/>
        <sz val="10"/>
        <color theme="9" tint="-0.499984740745262"/>
        <rFont val="Arial"/>
        <family val="2"/>
      </rPr>
      <t>2</t>
    </r>
  </si>
  <si>
    <r>
      <t>Total area for building, land and utilities, m</t>
    </r>
    <r>
      <rPr>
        <vertAlign val="superscript"/>
        <sz val="10"/>
        <color theme="4" tint="-0.499984740745262"/>
        <rFont val="Arial"/>
        <family val="2"/>
      </rPr>
      <t>2</t>
    </r>
  </si>
  <si>
    <r>
      <t>Total costs for building, land and utilities, $/m</t>
    </r>
    <r>
      <rPr>
        <vertAlign val="superscript"/>
        <sz val="10"/>
        <color theme="4" tint="-0.499984740745262"/>
        <rFont val="Arial"/>
        <family val="2"/>
      </rPr>
      <t>2</t>
    </r>
  </si>
  <si>
    <t>Values for module only (no pack level additions)</t>
  </si>
  <si>
    <t>Values for cells in a pack, (no pack or module level additions)</t>
  </si>
  <si>
    <t>Direct labor: formation cycling, testing and sealing, hrs/year</t>
  </si>
  <si>
    <t>Direct labor Summary, hrs/year</t>
  </si>
  <si>
    <t>Direct labor: electrode processing, hrs/year</t>
  </si>
  <si>
    <t>Direct labor: module and battery assembly, hrs/year</t>
  </si>
  <si>
    <t>Direct labor: cell and materials rejection and recycling, hrs/year</t>
  </si>
  <si>
    <t>Direct labor: receiving and shipping, hrs/year</t>
  </si>
  <si>
    <t>Direct labor: control laboratory, hrs/year</t>
  </si>
  <si>
    <t>Total direct labor, hrs/year</t>
  </si>
  <si>
    <t>Capital equipment: electrode processing, $mil</t>
  </si>
  <si>
    <t>Capital equipment: formation cycling, testing and sealing, $mil</t>
  </si>
  <si>
    <t>Capital equipment: module and battery assembly, $mil</t>
  </si>
  <si>
    <t>Capital equipment: cell and materials rejection and recycling, $mil</t>
  </si>
  <si>
    <t>Capital equipment: receiving and shipping, $mil</t>
  </si>
  <si>
    <t>Total cost of Capital equipment, $mil</t>
  </si>
  <si>
    <t>Layer thickness: negative foil, µm</t>
  </si>
  <si>
    <t>Layer thickness: positive electrode, µm</t>
  </si>
  <si>
    <t>Layer thickness: negative electrode, µm</t>
  </si>
  <si>
    <t>Layer thickness: separator, µm</t>
  </si>
  <si>
    <t>Layer thickness: total bicell layer, µm</t>
  </si>
  <si>
    <t>Thermal conductivity: positive current collector, W/cm-K</t>
  </si>
  <si>
    <t>Thermal conductivity: negative current collector, W/cm-K</t>
  </si>
  <si>
    <t>Thermal conductivity: positive electrode, W/cm-K</t>
  </si>
  <si>
    <t>Thermal conductivity: negative electrode, W/cm-K</t>
  </si>
  <si>
    <t>Thermal conductivity: separator, W/cm-K</t>
  </si>
  <si>
    <t>Thermal conductivity: parallel to layers, W/cm-K</t>
  </si>
  <si>
    <t>Thermal conductivity: across layers, W/cm-K</t>
  </si>
  <si>
    <t>Thermal conductivity: through folded cell edge, W/cm-K</t>
  </si>
  <si>
    <t>Thermal conductivity: air, W/cm-K</t>
  </si>
  <si>
    <t>Thermal conductivity: ethylene glycol-50% water solution, W/cm-K</t>
  </si>
  <si>
    <r>
      <t>Coolant density (</t>
    </r>
    <r>
      <rPr>
        <sz val="10"/>
        <rFont val="Calibri"/>
        <family val="2"/>
      </rPr>
      <t>ρ)</t>
    </r>
    <r>
      <rPr>
        <sz val="10"/>
        <rFont val="Arial"/>
        <family val="2"/>
      </rPr>
      <t>, g/mL</t>
    </r>
  </si>
  <si>
    <r>
      <t>Coolant viscosity (</t>
    </r>
    <r>
      <rPr>
        <sz val="10"/>
        <rFont val="Calibri"/>
        <family val="2"/>
      </rPr>
      <t>µ</t>
    </r>
    <r>
      <rPr>
        <sz val="10"/>
        <rFont val="Arial"/>
        <family val="2"/>
      </rPr>
      <t>), poise (g/s-cm)</t>
    </r>
  </si>
  <si>
    <r>
      <t>Coolant conductivity (k), W/cm-</t>
    </r>
    <r>
      <rPr>
        <vertAlign val="superscript"/>
        <sz val="10"/>
        <rFont val="Arial"/>
        <family val="2"/>
      </rPr>
      <t>o</t>
    </r>
    <r>
      <rPr>
        <sz val="10"/>
        <rFont val="Arial"/>
        <family val="2"/>
      </rPr>
      <t>C</t>
    </r>
  </si>
  <si>
    <t>Thickness of air flow channel (holding)</t>
  </si>
  <si>
    <t>convergence parameter for thickness of channel</t>
  </si>
  <si>
    <r>
      <t xml:space="preserve">Override value for coolant inlet temperature, </t>
    </r>
    <r>
      <rPr>
        <vertAlign val="superscript"/>
        <sz val="10"/>
        <rFont val="Arial"/>
        <family val="2"/>
      </rPr>
      <t>o</t>
    </r>
    <r>
      <rPr>
        <sz val="10"/>
        <rFont val="Arial"/>
        <family val="2"/>
      </rPr>
      <t>C</t>
    </r>
  </si>
  <si>
    <t>Program for Calculating Performance and Materials Requirements / Battery Design</t>
  </si>
  <si>
    <t>Prices of Cells and Modules</t>
  </si>
  <si>
    <t>Building: electrode processing, m²</t>
  </si>
  <si>
    <t>Building: cell assembly, m²</t>
  </si>
  <si>
    <t>Building: formation cycling, testing and sealing, m²</t>
  </si>
  <si>
    <t>Building: module and battery assembly, m²</t>
  </si>
  <si>
    <t>Building: cell and materials rejection and recycling, m²</t>
  </si>
  <si>
    <t>Building: receiving and shipping, m²</t>
  </si>
  <si>
    <t>Building: control laboratory, m²</t>
  </si>
  <si>
    <t>Electrode processing</t>
  </si>
  <si>
    <t>Cell assembly</t>
  </si>
  <si>
    <t>Formation cycling, testing and sealing</t>
  </si>
  <si>
    <t>Module and battery assembly</t>
  </si>
  <si>
    <t>Cell and materials rejection and recycling</t>
  </si>
  <si>
    <t>Receiving and shipping</t>
  </si>
  <si>
    <t>Direct Labor Summary with overhead, $/pack</t>
  </si>
  <si>
    <t>Capital Equipment with overhead, $/pack</t>
  </si>
  <si>
    <t>Building, Land and Utilities with Overhead, $/pack</t>
  </si>
  <si>
    <t>Capital equipment: cell assembly, $mil</t>
  </si>
  <si>
    <t>Total cost of direct labor with overhead</t>
  </si>
  <si>
    <t>Total cost of building, land and utilities with overhead</t>
  </si>
  <si>
    <t>Purchased items</t>
  </si>
  <si>
    <t>Labor</t>
  </si>
  <si>
    <t>Capital Equipment and Building</t>
  </si>
  <si>
    <t>Total for breakdown to basic cost factors</t>
  </si>
  <si>
    <t>Cost of materials</t>
  </si>
  <si>
    <t>Cost of purchased items</t>
  </si>
  <si>
    <t>Cost of manufacturing</t>
  </si>
  <si>
    <t>Cost of electrode processing</t>
  </si>
  <si>
    <t>Cost of cell assembly</t>
  </si>
  <si>
    <t>Cost of formation cycling, testing and sealing</t>
  </si>
  <si>
    <t>Cost of module and battery assembly</t>
  </si>
  <si>
    <t>Cost of cell and materials rejection and recycling</t>
  </si>
  <si>
    <t>Cost of receiving and shipping</t>
  </si>
  <si>
    <t>Cost of control laboratory</t>
  </si>
  <si>
    <t>Total manufacturing cost</t>
  </si>
  <si>
    <t>Battery pack total</t>
  </si>
  <si>
    <t>Pack integration (BMS &amp; disconnects)</t>
  </si>
  <si>
    <t>Estimated cost to OEM for thermal management</t>
  </si>
  <si>
    <t>Total cost to OEM for complete battery system</t>
  </si>
  <si>
    <t>Capacity, Ah (holding)</t>
  </si>
  <si>
    <t>Capital equipment: control laboratory, $mil</t>
  </si>
  <si>
    <t>Numbers in Col A are used for graphing (add additional values to add to summary table)</t>
  </si>
  <si>
    <r>
      <t>Positive electode areal capacity, mAh/cm</t>
    </r>
    <r>
      <rPr>
        <sz val="10"/>
        <rFont val="Calibri"/>
        <family val="2"/>
      </rPr>
      <t>²</t>
    </r>
  </si>
  <si>
    <r>
      <t>Negative electrode areal capacity, mAh/cm</t>
    </r>
    <r>
      <rPr>
        <sz val="10"/>
        <rFont val="Calibri"/>
        <family val="2"/>
      </rPr>
      <t>²</t>
    </r>
  </si>
  <si>
    <r>
      <t>Building, land and utilities cost, $/m</t>
    </r>
    <r>
      <rPr>
        <sz val="10"/>
        <rFont val="Calibri"/>
        <family val="2"/>
      </rPr>
      <t>²</t>
    </r>
  </si>
  <si>
    <t>Negative electrode areal capacity, mAh/cm²</t>
  </si>
  <si>
    <t>Electrode area, m² per year</t>
  </si>
  <si>
    <r>
      <t>Cell current collector ASI, ohms-cm</t>
    </r>
    <r>
      <rPr>
        <vertAlign val="superscript"/>
        <sz val="10"/>
        <rFont val="Arial"/>
        <family val="2"/>
      </rPr>
      <t>²</t>
    </r>
  </si>
  <si>
    <r>
      <t>Cell terminal and connection ASI, ohms-cm</t>
    </r>
    <r>
      <rPr>
        <vertAlign val="superscript"/>
        <sz val="10"/>
        <rFont val="Arial"/>
        <family val="2"/>
      </rPr>
      <t>²</t>
    </r>
  </si>
  <si>
    <r>
      <t>Total cell hardware and battery ASI, ohm-cm</t>
    </r>
    <r>
      <rPr>
        <vertAlign val="superscript"/>
        <sz val="10"/>
        <rFont val="Arial"/>
        <family val="2"/>
      </rPr>
      <t>²</t>
    </r>
  </si>
  <si>
    <r>
      <t>Total cell ASI for power, ohm-cm</t>
    </r>
    <r>
      <rPr>
        <vertAlign val="superscript"/>
        <sz val="10"/>
        <rFont val="Arial"/>
        <family val="2"/>
      </rPr>
      <t>²</t>
    </r>
  </si>
  <si>
    <r>
      <t>Total cell ASI for energy (C/3 rate), ohm-cm</t>
    </r>
    <r>
      <rPr>
        <vertAlign val="superscript"/>
        <sz val="10"/>
        <rFont val="Arial"/>
        <family val="2"/>
      </rPr>
      <t>²</t>
    </r>
  </si>
  <si>
    <r>
      <t>Electrode system ASI for power at SOC for vehicle type, ohm-cm</t>
    </r>
    <r>
      <rPr>
        <vertAlign val="superscript"/>
        <sz val="10"/>
        <rFont val="Arial"/>
        <family val="2"/>
      </rPr>
      <t>²</t>
    </r>
  </si>
  <si>
    <t>Positive electrode areal capacity, mAh/cm²</t>
  </si>
  <si>
    <t>Cell Area Calculation, cm²</t>
  </si>
  <si>
    <t>Maximum current density at full power, mA/cm²</t>
  </si>
  <si>
    <t>Battery jacket area, cm²</t>
  </si>
  <si>
    <t>Battery jacket mass parameter (insulation den., 0.032g/cm3), g/cm²</t>
  </si>
  <si>
    <t>Electrode system ASI for energy, ohm-cm²</t>
  </si>
  <si>
    <t>Limiting current density for power bursts, mA/cm²</t>
  </si>
  <si>
    <t>Negative electrode ASIinf, ohm-cm²</t>
  </si>
  <si>
    <t>Positive electrode ASIinf, ohm-cm²</t>
  </si>
  <si>
    <t>Maximum current density to avoid lithium deposition, mA/cm²</t>
  </si>
  <si>
    <t>Area of pack cells in parallel, cm²</t>
  </si>
  <si>
    <t>Current density to achieve desired charging time with design for discharge, mA/cm²</t>
  </si>
  <si>
    <t>Fluid mass rate (G), g/sec-cm²</t>
  </si>
  <si>
    <t>Fluid flow cross-section per channel, cm²</t>
  </si>
  <si>
    <t>Fluid mass rate through pack entrance (Gp), g/sec-cm²</t>
  </si>
  <si>
    <t>Effective heat transfer area per channel, cm²</t>
  </si>
  <si>
    <t>Insulation area, cm²</t>
  </si>
  <si>
    <t>Fluid flow cross-section through battery pack jacket, cm²</t>
  </si>
  <si>
    <t>Effective area, cm²</t>
  </si>
  <si>
    <t>Maximum charging current density, mA/cm²</t>
  </si>
  <si>
    <r>
      <t>Positive electrode specific particle area "a", cm²/cm</t>
    </r>
    <r>
      <rPr>
        <sz val="11"/>
        <rFont val="Calibri"/>
        <family val="2"/>
      </rPr>
      <t>³</t>
    </r>
  </si>
  <si>
    <r>
      <t>Separator, $/m</t>
    </r>
    <r>
      <rPr>
        <sz val="14"/>
        <rFont val="Calibri"/>
        <family val="2"/>
      </rPr>
      <t>²</t>
    </r>
  </si>
  <si>
    <r>
      <t>Positive electrode active material density, g/cm</t>
    </r>
    <r>
      <rPr>
        <sz val="11"/>
        <rFont val="Calibri"/>
        <family val="2"/>
      </rPr>
      <t>³</t>
    </r>
  </si>
  <si>
    <t>Positive electrode carbon additive density, g/cm³</t>
  </si>
  <si>
    <t>Positive electrode binder density, g/cm³</t>
  </si>
  <si>
    <t>Negative electrode active material density, g/cm³</t>
  </si>
  <si>
    <t>Negative electrode carbon additive density, g/cm³</t>
  </si>
  <si>
    <t>Negative electrode binder density, g/cm³</t>
  </si>
  <si>
    <r>
      <t>Negative electrode specific area "a", cm</t>
    </r>
    <r>
      <rPr>
        <sz val="11"/>
        <rFont val="Calibri"/>
        <family val="2"/>
      </rPr>
      <t>²</t>
    </r>
    <r>
      <rPr>
        <sz val="11"/>
        <rFont val="Arial"/>
        <family val="2"/>
      </rPr>
      <t>/cm³</t>
    </r>
  </si>
  <si>
    <t>Separator density, g/cm³</t>
  </si>
  <si>
    <t>Electrolyte density, g/cm³</t>
  </si>
  <si>
    <r>
      <rPr>
        <i/>
        <sz val="11"/>
        <rFont val="Times New Roman"/>
        <family val="1"/>
      </rPr>
      <t>i</t>
    </r>
    <r>
      <rPr>
        <vertAlign val="subscript"/>
        <sz val="11"/>
        <rFont val="Arial"/>
        <family val="2"/>
      </rPr>
      <t>o</t>
    </r>
    <r>
      <rPr>
        <sz val="11"/>
        <rFont val="Arial"/>
        <family val="2"/>
      </rPr>
      <t>F/RT estimate, 1/(ohm-cm</t>
    </r>
    <r>
      <rPr>
        <sz val="11"/>
        <rFont val="Calibri"/>
        <family val="2"/>
      </rPr>
      <t>²</t>
    </r>
    <r>
      <rPr>
        <sz val="11"/>
        <rFont val="Arial"/>
        <family val="2"/>
      </rPr>
      <t>)</t>
    </r>
  </si>
  <si>
    <r>
      <t>ASI associated with interfacial effects, ohm-cm</t>
    </r>
    <r>
      <rPr>
        <sz val="11"/>
        <rFont val="Calibri"/>
        <family val="2"/>
      </rPr>
      <t>²</t>
    </r>
  </si>
  <si>
    <r>
      <t>Electrode system ASI for power, ohm-cm</t>
    </r>
    <r>
      <rPr>
        <sz val="11"/>
        <rFont val="Calibri"/>
        <family val="2"/>
      </rPr>
      <t>²</t>
    </r>
  </si>
  <si>
    <r>
      <t>Electrode system ASI for energy, ohm-cm</t>
    </r>
    <r>
      <rPr>
        <sz val="11"/>
        <rFont val="Calibri"/>
        <family val="2"/>
      </rPr>
      <t>²</t>
    </r>
  </si>
  <si>
    <r>
      <t>Maximum charging current density, mA/cm</t>
    </r>
    <r>
      <rPr>
        <sz val="11"/>
        <rFont val="Calibri"/>
        <family val="2"/>
      </rPr>
      <t>²</t>
    </r>
  </si>
  <si>
    <r>
      <t>Positive current collector foil, $/m</t>
    </r>
    <r>
      <rPr>
        <sz val="11"/>
        <rFont val="Calibri"/>
        <family val="2"/>
      </rPr>
      <t>²</t>
    </r>
  </si>
  <si>
    <r>
      <t>Negative current collector foil, $/m</t>
    </r>
    <r>
      <rPr>
        <sz val="11"/>
        <rFont val="Calibri"/>
        <family val="2"/>
      </rPr>
      <t>²</t>
    </r>
  </si>
  <si>
    <r>
      <t>Separators, $/m</t>
    </r>
    <r>
      <rPr>
        <sz val="11"/>
        <rFont val="Calibri"/>
        <family val="2"/>
      </rPr>
      <t>²</t>
    </r>
  </si>
  <si>
    <t>Battery system volume (all packs, with cooling), L</t>
  </si>
  <si>
    <t>Battery system weight (all packs, with cooling), kg</t>
  </si>
  <si>
    <t>Binder solvent for negative electrode</t>
  </si>
  <si>
    <t>Void, vol% % of negative electrode</t>
  </si>
  <si>
    <r>
      <t>Dry room, enclosed operating area, m</t>
    </r>
    <r>
      <rPr>
        <sz val="10"/>
        <rFont val="Calibri"/>
        <family val="2"/>
      </rPr>
      <t>²</t>
    </r>
  </si>
  <si>
    <t>Minimum % OCV limit at full power, %</t>
  </si>
  <si>
    <t>Battery System Open Circuit Voltage, V</t>
  </si>
  <si>
    <t>Total Pack Voltage</t>
  </si>
  <si>
    <t>Number of cells in parallel group in module</t>
  </si>
  <si>
    <t>Number of cells per module (total)</t>
  </si>
  <si>
    <t>https://www.anl.gov/tcp/batpac-battery-manufacturing-cost-estimation</t>
  </si>
  <si>
    <t>Paul Nelson, Shabbir Ahmed, Kevin Gallagher, Dennis Dees, Joseph Kubal, Juhyun Song, David Robertson</t>
  </si>
  <si>
    <t>Energy-storage produced, kWh per year</t>
  </si>
  <si>
    <t>Battery temperature at end of charging 80% SOC with no cooling, °C</t>
  </si>
  <si>
    <t>Battery temperature at end of charging 60% SOC with no cooling, °C</t>
  </si>
  <si>
    <t>Estimated heat capacity of pack, J/g-°C</t>
  </si>
  <si>
    <t>Maximum allowed temperature at center of cells, °C</t>
  </si>
  <si>
    <t>Initial pack temperature, °C</t>
  </si>
  <si>
    <t>Layer thickness: positive foil, µm</t>
  </si>
  <si>
    <r>
      <t xml:space="preserve">Assumed initial temperature, </t>
    </r>
    <r>
      <rPr>
        <sz val="10"/>
        <rFont val="Calibri"/>
        <family val="2"/>
      </rPr>
      <t>°</t>
    </r>
    <r>
      <rPr>
        <sz val="12"/>
        <rFont val="Arial"/>
        <family val="2"/>
      </rPr>
      <t>C</t>
    </r>
  </si>
  <si>
    <t>Estimated heat capacity of battery, J/g °C</t>
  </si>
  <si>
    <t>Average battery temperature at end of discharge, °C</t>
  </si>
  <si>
    <t>Heat transfer through cell edges per unit temperature differential, W/°C</t>
  </si>
  <si>
    <t>Heat transfer through cell sides per unit temperature differential, W/°C</t>
  </si>
  <si>
    <t>Temperature drop from cell center to module wall, °C</t>
  </si>
  <si>
    <t>Coolant heat capacity, J/g°C</t>
  </si>
  <si>
    <t>Coolant temperature at inlet to pack, °C</t>
  </si>
  <si>
    <t>Total rise in fluid temperature, °C</t>
  </si>
  <si>
    <t>h = Nu*k/Dh, W/cm² °C</t>
  </si>
  <si>
    <t>Temperature drop from module wall to bulk fluid at steady state, °C</t>
  </si>
  <si>
    <t>Temperature drop from cell center to bulk fluid, °C</t>
  </si>
  <si>
    <t>Maximum temperature of center of cells, °C</t>
  </si>
  <si>
    <t>Temperature drop from cell center to cell wall, °C</t>
  </si>
  <si>
    <t>Coolant conductivity (k), W/cm°C</t>
  </si>
  <si>
    <t>Coolant inlet temperature, default value,  °C</t>
  </si>
  <si>
    <t>Selected inlet coolant temperature, °C</t>
  </si>
  <si>
    <t>Total rise in coolant air temperature, °C</t>
  </si>
  <si>
    <r>
      <t xml:space="preserve">Temperature difference at steady state, </t>
    </r>
    <r>
      <rPr>
        <vertAlign val="superscript"/>
        <sz val="10"/>
        <rFont val="Arial"/>
        <family val="2"/>
      </rPr>
      <t>°C</t>
    </r>
  </si>
  <si>
    <t>Effective ambient temperature, °C</t>
  </si>
  <si>
    <t>Battery temperature target, °C</t>
  </si>
  <si>
    <t>Ambient temperature, °C</t>
  </si>
  <si>
    <t>Battery temperature at startup, °C</t>
  </si>
  <si>
    <t>Battery temperature after heating, °C</t>
  </si>
  <si>
    <r>
      <t xml:space="preserve">     Power factor for aerodynamic drag, kW/(mph)</t>
    </r>
    <r>
      <rPr>
        <sz val="10"/>
        <rFont val="Calibri"/>
        <family val="2"/>
      </rPr>
      <t>³</t>
    </r>
  </si>
  <si>
    <t>Maximum thickness limit for positive electrode,  µm</t>
  </si>
  <si>
    <t>Minimum thickness limit for positive electrode,  µm</t>
  </si>
  <si>
    <t>for foil-cost</t>
  </si>
  <si>
    <t>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</si>
</sst>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00"/>
    <numFmt numFmtId="167" formatCode="0.0000"/>
    <numFmt numFmtId="168" formatCode="0.00000"/>
    <numFmt numFmtId="169" formatCode="_(* #,##0.0_);_(* \(#,##0.0\);_(* &quot;-&quot;??_);_(@_)"/>
    <numFmt numFmtId="170" formatCode="_(* #,##0_);_(* \(#,##0\);_(* &quot;-&quot;??_);_(@_)"/>
    <numFmt numFmtId="171" formatCode="#,##0.000_);[Red]\(#,##0.000\)"/>
    <numFmt numFmtId="172" formatCode="_(* #,##0.000_);_(* \(#,##0.000\);_(* &quot;-&quot;??_);_(@_)"/>
    <numFmt numFmtId="173" formatCode="_(* #,##0.0000_);_(* \(#,##0.0000\);_(* &quot;-&quot;??_);_(@_)"/>
    <numFmt numFmtId="174" formatCode="#,##0.0_);[Red]\(#,##0.0\)"/>
    <numFmt numFmtId="175" formatCode="0.0000000"/>
    <numFmt numFmtId="176" formatCode="0.000000"/>
    <numFmt numFmtId="177" formatCode="#,##0.000"/>
    <numFmt numFmtId="178" formatCode="#,##0.0000000"/>
    <numFmt numFmtId="179" formatCode="#,##0.000000_);[Red]\(#,##0.000000\)"/>
    <numFmt numFmtId="180" formatCode="#,##0.0000_);[Red]\(#,##0.0000\)"/>
    <numFmt numFmtId="181" formatCode="_(* #,##0.0_);_(* \(#,##0.0\);_(* &quot;-&quot;?_);_(@_)"/>
    <numFmt numFmtId="182" formatCode="0.0%"/>
    <numFmt numFmtId="183" formatCode="&quot;$&quot;#,##0.00"/>
    <numFmt numFmtId="184" formatCode="&quot;$&quot;#,##0.0"/>
    <numFmt numFmtId="185" formatCode="&quot;$&quot;#,##0"/>
    <numFmt numFmtId="186" formatCode="_(&quot;$&quot;* #,##0.0_);_(&quot;$&quot;* \(#,##0.0\);_(&quot;$&quot;* &quot;-&quot;??_);_(@_)"/>
    <numFmt numFmtId="187" formatCode="_([$$-409]* #,##0.0_);_([$$-409]* \(#,##0.0\);_([$$-409]* &quot;-&quot;??_);_(@_)"/>
    <numFmt numFmtId="188" formatCode="_([$$-409]* #,##0_);_([$$-409]* \(#,##0\);_([$$-409]* &quot;-&quot;??_);_(@_)"/>
  </numFmts>
  <fonts count="129">
    <font>
      <sz val="10"/>
      <name val="Arial"/>
    </font>
    <font>
      <sz val="11"/>
      <color theme="1"/>
      <name val="Calibri"/>
      <family val="2"/>
      <scheme val="minor"/>
    </font>
    <font>
      <sz val="11"/>
      <color theme="1"/>
      <name val="Calibri"/>
      <family val="2"/>
      <scheme val="minor"/>
    </font>
    <font>
      <sz val="10"/>
      <name val="Arial"/>
      <family val="2"/>
    </font>
    <font>
      <b/>
      <sz val="12"/>
      <name val="Arial"/>
      <family val="2"/>
    </font>
    <font>
      <vertAlign val="superscript"/>
      <sz val="10"/>
      <name val="Arial"/>
      <family val="2"/>
    </font>
    <font>
      <sz val="10"/>
      <name val="Arial"/>
      <family val="2"/>
    </font>
    <font>
      <sz val="8"/>
      <name val="Arial"/>
      <family val="2"/>
    </font>
    <font>
      <b/>
      <sz val="10"/>
      <name val="Arial"/>
      <family val="2"/>
    </font>
    <font>
      <sz val="10"/>
      <name val="Symbol"/>
      <family val="1"/>
      <charset val="2"/>
    </font>
    <font>
      <sz val="9"/>
      <name val="Arial"/>
      <family val="2"/>
    </font>
    <font>
      <sz val="12"/>
      <name val="Arial"/>
      <family val="2"/>
    </font>
    <font>
      <u/>
      <sz val="10"/>
      <name val="Arial"/>
      <family val="2"/>
    </font>
    <font>
      <b/>
      <sz val="14"/>
      <name val="Arial"/>
      <family val="2"/>
    </font>
    <font>
      <u/>
      <sz val="10"/>
      <name val="Arial"/>
      <family val="2"/>
    </font>
    <font>
      <b/>
      <sz val="10"/>
      <color indexed="10"/>
      <name val="Arial"/>
      <family val="2"/>
    </font>
    <font>
      <b/>
      <sz val="10"/>
      <color indexed="12"/>
      <name val="Arial"/>
      <family val="2"/>
    </font>
    <font>
      <vertAlign val="subscript"/>
      <sz val="10"/>
      <name val="Arial"/>
      <family val="2"/>
    </font>
    <font>
      <b/>
      <sz val="10"/>
      <color indexed="17"/>
      <name val="Arial"/>
      <family val="2"/>
    </font>
    <font>
      <sz val="18"/>
      <name val="Arial"/>
      <family val="2"/>
    </font>
    <font>
      <b/>
      <sz val="22"/>
      <name val="Arial"/>
      <family val="2"/>
    </font>
    <font>
      <b/>
      <sz val="12"/>
      <color indexed="10"/>
      <name val="Arial"/>
      <family val="2"/>
    </font>
    <font>
      <b/>
      <sz val="10"/>
      <color indexed="10"/>
      <name val="Arial"/>
      <family val="2"/>
    </font>
    <font>
      <b/>
      <sz val="10"/>
      <color indexed="10"/>
      <name val="Arial"/>
      <family val="2"/>
    </font>
    <font>
      <b/>
      <sz val="11"/>
      <name val="Arial"/>
      <family val="2"/>
    </font>
    <font>
      <sz val="10"/>
      <name val="Calibri"/>
      <family val="2"/>
    </font>
    <font>
      <b/>
      <sz val="10"/>
      <color rgb="FFFF0000"/>
      <name val="Arial"/>
      <family val="2"/>
    </font>
    <font>
      <sz val="11"/>
      <name val="Arial"/>
      <family val="2"/>
    </font>
    <font>
      <sz val="10"/>
      <color rgb="FFFF0000"/>
      <name val="Arial"/>
      <family val="2"/>
    </font>
    <font>
      <b/>
      <sz val="16"/>
      <name val="Arial"/>
      <family val="2"/>
    </font>
    <font>
      <b/>
      <sz val="10"/>
      <color rgb="FF00B050"/>
      <name val="Arial"/>
      <family val="2"/>
    </font>
    <font>
      <b/>
      <u/>
      <sz val="12"/>
      <name val="Arial"/>
      <family val="2"/>
    </font>
    <font>
      <b/>
      <sz val="10"/>
      <color rgb="FF0000FF"/>
      <name val="Arial"/>
      <family val="2"/>
    </font>
    <font>
      <b/>
      <sz val="9"/>
      <color indexed="81"/>
      <name val="Tahoma"/>
      <family val="2"/>
    </font>
    <font>
      <b/>
      <sz val="10"/>
      <color theme="1"/>
      <name val="Arial"/>
      <family val="2"/>
    </font>
    <font>
      <b/>
      <sz val="11"/>
      <color rgb="FFFF0000"/>
      <name val="Arial"/>
      <family val="2"/>
    </font>
    <font>
      <b/>
      <sz val="9"/>
      <name val="Arial"/>
      <family val="2"/>
    </font>
    <font>
      <b/>
      <sz val="10"/>
      <color rgb="FF7030A0"/>
      <name val="Arial"/>
      <family val="2"/>
    </font>
    <font>
      <sz val="10"/>
      <name val="Arial"/>
      <family val="2"/>
    </font>
    <font>
      <sz val="11"/>
      <name val="Calibri"/>
      <family val="2"/>
      <scheme val="minor"/>
    </font>
    <font>
      <sz val="11"/>
      <color theme="0"/>
      <name val="Calibri"/>
      <family val="2"/>
      <scheme val="minor"/>
    </font>
    <font>
      <sz val="10"/>
      <color theme="1"/>
      <name val="Arial"/>
      <family val="2"/>
    </font>
    <font>
      <u/>
      <sz val="10"/>
      <color theme="10"/>
      <name val="Arial"/>
      <family val="2"/>
    </font>
    <font>
      <b/>
      <u/>
      <sz val="12"/>
      <color theme="10"/>
      <name val="Arial"/>
      <family val="2"/>
    </font>
    <font>
      <sz val="10"/>
      <name val="Arial"/>
      <family val="2"/>
    </font>
    <font>
      <b/>
      <sz val="12"/>
      <color rgb="FF0000FF"/>
      <name val="Arial"/>
      <family val="2"/>
    </font>
    <font>
      <sz val="9"/>
      <color indexed="81"/>
      <name val="Tahoma"/>
      <family val="2"/>
    </font>
    <font>
      <b/>
      <sz val="11"/>
      <color theme="1"/>
      <name val="Calibri"/>
      <family val="2"/>
      <scheme val="minor"/>
    </font>
    <font>
      <b/>
      <u/>
      <sz val="10"/>
      <color theme="1"/>
      <name val="Calibri"/>
      <family val="2"/>
      <scheme val="minor"/>
    </font>
    <font>
      <b/>
      <u/>
      <sz val="11"/>
      <color theme="1"/>
      <name val="Calibri"/>
      <family val="2"/>
      <scheme val="minor"/>
    </font>
    <font>
      <b/>
      <u/>
      <sz val="11"/>
      <name val="Calibri"/>
      <family val="2"/>
      <scheme val="minor"/>
    </font>
    <font>
      <b/>
      <u/>
      <sz val="10"/>
      <name val="Arial"/>
      <family val="2"/>
    </font>
    <font>
      <b/>
      <u/>
      <sz val="8"/>
      <name val="Calibri"/>
      <family val="2"/>
      <scheme val="minor"/>
    </font>
    <font>
      <sz val="8"/>
      <color theme="1"/>
      <name val="Calibri"/>
      <family val="2"/>
      <scheme val="minor"/>
    </font>
    <font>
      <b/>
      <sz val="12"/>
      <color rgb="FF0000CC"/>
      <name val="Calibri"/>
      <family val="2"/>
      <scheme val="minor"/>
    </font>
    <font>
      <i/>
      <sz val="10"/>
      <name val="Arial"/>
      <family val="2"/>
    </font>
    <font>
      <b/>
      <sz val="11"/>
      <color rgb="FF0000FF"/>
      <name val="Arial"/>
      <family val="2"/>
    </font>
    <font>
      <b/>
      <sz val="8"/>
      <color rgb="FFFF0000"/>
      <name val="Arial"/>
      <family val="2"/>
    </font>
    <font>
      <sz val="10"/>
      <color rgb="FF000000"/>
      <name val="Arial"/>
      <family val="2"/>
    </font>
    <font>
      <sz val="12"/>
      <name val="Times New Roman"/>
      <family val="1"/>
    </font>
    <font>
      <b/>
      <sz val="12"/>
      <color indexed="12"/>
      <name val="Times New Roman"/>
      <family val="1"/>
    </font>
    <font>
      <sz val="11"/>
      <name val="Times New Roman"/>
      <family val="1"/>
    </font>
    <font>
      <b/>
      <sz val="11"/>
      <name val="Times New Roman"/>
      <family val="1"/>
    </font>
    <font>
      <vertAlign val="superscript"/>
      <sz val="11"/>
      <name val="Times New Roman"/>
      <family val="1"/>
    </font>
    <font>
      <u/>
      <sz val="11"/>
      <name val="Times New Roman"/>
      <family val="1"/>
    </font>
    <font>
      <sz val="16"/>
      <name val="Arial"/>
      <family val="2"/>
    </font>
    <font>
      <sz val="18"/>
      <color rgb="FF000000"/>
      <name val="Times New Roman"/>
      <family val="1"/>
    </font>
    <font>
      <b/>
      <sz val="12"/>
      <color rgb="FFFF0000"/>
      <name val="Arial"/>
      <family val="2"/>
    </font>
    <font>
      <sz val="14"/>
      <name val="Arial"/>
      <family val="2"/>
    </font>
    <font>
      <sz val="14"/>
      <name val="Symbol"/>
      <family val="1"/>
      <charset val="2"/>
    </font>
    <font>
      <b/>
      <sz val="28"/>
      <name val="Arial"/>
      <family val="2"/>
    </font>
    <font>
      <b/>
      <sz val="28"/>
      <color rgb="FF0000FF"/>
      <name val="Arial"/>
      <family val="2"/>
    </font>
    <font>
      <b/>
      <sz val="18"/>
      <name val="Arial"/>
      <family val="2"/>
    </font>
    <font>
      <b/>
      <sz val="18"/>
      <color rgb="FF33CCFF"/>
      <name val="Arial"/>
      <family val="2"/>
    </font>
    <font>
      <b/>
      <sz val="18"/>
      <color theme="6" tint="-0.249977111117893"/>
      <name val="Arial"/>
      <family val="2"/>
    </font>
    <font>
      <b/>
      <sz val="16"/>
      <color rgb="FFFF0000"/>
      <name val="Arial"/>
      <family val="2"/>
    </font>
    <font>
      <b/>
      <sz val="20"/>
      <name val="Arial"/>
      <family val="2"/>
    </font>
    <font>
      <b/>
      <sz val="18"/>
      <color rgb="FFFF0000"/>
      <name val="Arial"/>
      <family val="2"/>
    </font>
    <font>
      <b/>
      <sz val="16"/>
      <color rgb="FFC00000"/>
      <name val="Arial"/>
      <family val="2"/>
    </font>
    <font>
      <b/>
      <sz val="18"/>
      <color rgb="FFC00000"/>
      <name val="Arial"/>
      <family val="2"/>
    </font>
    <font>
      <b/>
      <sz val="24"/>
      <color rgb="FF0000FF"/>
      <name val="Arial"/>
      <family val="2"/>
    </font>
    <font>
      <sz val="28"/>
      <name val="Arial"/>
      <family val="2"/>
    </font>
    <font>
      <b/>
      <sz val="20"/>
      <color rgb="FF0000FF"/>
      <name val="Arial"/>
      <family val="2"/>
    </font>
    <font>
      <sz val="12"/>
      <color rgb="FFFF0000"/>
      <name val="Arial"/>
      <family val="2"/>
    </font>
    <font>
      <b/>
      <i/>
      <sz val="20"/>
      <name val="Arial"/>
      <family val="2"/>
    </font>
    <font>
      <b/>
      <sz val="11"/>
      <color rgb="FFC00000"/>
      <name val="Times New Roman"/>
      <family val="1"/>
    </font>
    <font>
      <sz val="10"/>
      <color theme="0"/>
      <name val="Arial"/>
      <family val="2"/>
    </font>
    <font>
      <b/>
      <sz val="20"/>
      <name val="Times New Roman"/>
      <family val="1"/>
    </font>
    <font>
      <i/>
      <sz val="11"/>
      <name val="Times New Roman"/>
      <family val="1"/>
    </font>
    <font>
      <b/>
      <sz val="22"/>
      <name val="Times\"/>
    </font>
    <font>
      <b/>
      <sz val="20"/>
      <color rgb="FFFF0000"/>
      <name val="Arial"/>
      <family val="2"/>
    </font>
    <font>
      <sz val="15"/>
      <name val="Arial"/>
      <family val="2"/>
    </font>
    <font>
      <sz val="11"/>
      <color indexed="81"/>
      <name val="Tahoma"/>
      <family val="2"/>
    </font>
    <font>
      <b/>
      <i/>
      <sz val="11"/>
      <name val="Times New Roman"/>
      <family val="1"/>
    </font>
    <font>
      <b/>
      <i/>
      <sz val="10"/>
      <name val="Arial"/>
      <family val="2"/>
    </font>
    <font>
      <sz val="11"/>
      <color rgb="FFFF0000"/>
      <name val="Arial"/>
      <family val="2"/>
    </font>
    <font>
      <i/>
      <sz val="11"/>
      <name val="Arial"/>
      <family val="2"/>
    </font>
    <font>
      <b/>
      <sz val="11"/>
      <color rgb="FFFF0000"/>
      <name val="Times New Roman"/>
      <family val="1"/>
    </font>
    <font>
      <b/>
      <i/>
      <sz val="11"/>
      <name val="Arial"/>
      <family val="2"/>
    </font>
    <font>
      <b/>
      <i/>
      <vertAlign val="superscript"/>
      <sz val="11"/>
      <name val="Arial"/>
      <family val="2"/>
    </font>
    <font>
      <u/>
      <vertAlign val="superscript"/>
      <sz val="11"/>
      <name val="Times New Roman"/>
      <family val="1"/>
    </font>
    <font>
      <sz val="11"/>
      <name val="Symbol"/>
      <family val="1"/>
      <charset val="2"/>
    </font>
    <font>
      <b/>
      <vertAlign val="superscript"/>
      <sz val="11"/>
      <name val="Times New Roman"/>
      <family val="1"/>
    </font>
    <font>
      <vertAlign val="subscript"/>
      <sz val="11"/>
      <name val="Arial"/>
      <family val="2"/>
    </font>
    <font>
      <b/>
      <sz val="11"/>
      <color rgb="FFC00000"/>
      <name val="Arial"/>
      <family val="2"/>
    </font>
    <font>
      <b/>
      <sz val="11"/>
      <color indexed="12"/>
      <name val="Arial"/>
      <family val="2"/>
    </font>
    <font>
      <b/>
      <sz val="11"/>
      <color indexed="12"/>
      <name val="Times New Roman"/>
      <family val="1"/>
    </font>
    <font>
      <b/>
      <sz val="10"/>
      <color rgb="FFC00000"/>
      <name val="Arial"/>
      <family val="2"/>
    </font>
    <font>
      <sz val="14"/>
      <color theme="1"/>
      <name val="Arial"/>
      <family val="2"/>
    </font>
    <font>
      <u/>
      <sz val="10"/>
      <name val="Calibri"/>
      <family val="2"/>
    </font>
    <font>
      <b/>
      <sz val="12"/>
      <color theme="9" tint="-0.499984740745262"/>
      <name val="Arial"/>
      <family val="2"/>
    </font>
    <font>
      <sz val="10"/>
      <color theme="9" tint="-0.499984740745262"/>
      <name val="Arial"/>
      <family val="2"/>
    </font>
    <font>
      <b/>
      <sz val="10"/>
      <color theme="9" tint="-0.499984740745262"/>
      <name val="Arial"/>
      <family val="2"/>
    </font>
    <font>
      <vertAlign val="superscript"/>
      <sz val="10"/>
      <color theme="9" tint="-0.499984740745262"/>
      <name val="Arial"/>
      <family val="2"/>
    </font>
    <font>
      <b/>
      <sz val="11"/>
      <color theme="9" tint="-0.499984740745262"/>
      <name val="Arial"/>
      <family val="2"/>
    </font>
    <font>
      <u/>
      <sz val="10"/>
      <color theme="9" tint="-0.499984740745262"/>
      <name val="Arial"/>
      <family val="2"/>
    </font>
    <font>
      <i/>
      <sz val="10"/>
      <color theme="9" tint="-0.499984740745262"/>
      <name val="Arial"/>
      <family val="2"/>
    </font>
    <font>
      <b/>
      <sz val="10"/>
      <color theme="4" tint="-0.499984740745262"/>
      <name val="Arial"/>
      <family val="2"/>
    </font>
    <font>
      <b/>
      <sz val="12"/>
      <color theme="4" tint="-0.499984740745262"/>
      <name val="Arial"/>
      <family val="2"/>
    </font>
    <font>
      <sz val="10"/>
      <color theme="4" tint="-0.499984740745262"/>
      <name val="Arial"/>
      <family val="2"/>
    </font>
    <font>
      <i/>
      <sz val="10"/>
      <color theme="4" tint="-0.499984740745262"/>
      <name val="Arial"/>
      <family val="2"/>
    </font>
    <font>
      <vertAlign val="superscript"/>
      <sz val="10"/>
      <color theme="4" tint="-0.499984740745262"/>
      <name val="Arial"/>
      <family val="2"/>
    </font>
    <font>
      <b/>
      <sz val="11"/>
      <color theme="4" tint="-0.499984740745262"/>
      <name val="Arial"/>
      <family val="2"/>
    </font>
    <font>
      <u/>
      <sz val="10"/>
      <color theme="4" tint="-0.499984740745262"/>
      <name val="Arial"/>
      <family val="2"/>
    </font>
    <font>
      <sz val="11"/>
      <name val="Calibri"/>
      <family val="2"/>
    </font>
    <font>
      <sz val="14"/>
      <name val="Calibri"/>
      <family val="2"/>
    </font>
    <font>
      <sz val="11"/>
      <name val="Arial"/>
      <family val="1"/>
    </font>
    <font>
      <b/>
      <sz val="12"/>
      <color rgb="FF000000"/>
      <name val="Tahoma"/>
      <family val="2"/>
    </font>
    <font>
      <sz val="9"/>
      <color rgb="FF000000"/>
      <name val="Tahoma"/>
      <family val="2"/>
    </font>
  </fonts>
  <fills count="23">
    <fill>
      <patternFill patternType="none"/>
    </fill>
    <fill>
      <patternFill patternType="gray125"/>
    </fill>
    <fill>
      <patternFill patternType="solid">
        <fgColor indexed="43"/>
        <bgColor indexed="64"/>
      </patternFill>
    </fill>
    <fill>
      <patternFill patternType="gray0625">
        <bgColor indexed="42"/>
      </patternFill>
    </fill>
    <fill>
      <patternFill patternType="solid">
        <fgColor indexed="41"/>
        <bgColor indexed="64"/>
      </patternFill>
    </fill>
    <fill>
      <patternFill patternType="solid">
        <fgColor rgb="FF66FFFF"/>
        <bgColor indexed="64"/>
      </patternFill>
    </fill>
    <fill>
      <patternFill patternType="solid">
        <fgColor rgb="FFFFFF99"/>
        <bgColor indexed="64"/>
      </patternFill>
    </fill>
    <fill>
      <patternFill patternType="solid">
        <fgColor theme="9"/>
      </patternFill>
    </fill>
    <fill>
      <patternFill patternType="solid">
        <fgColor theme="6" tint="0.7999816888943144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CC99FF"/>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bgColor indexed="64"/>
      </patternFill>
    </fill>
    <fill>
      <patternFill patternType="solid">
        <fgColor theme="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bgColor indexed="64"/>
      </patternFill>
    </fill>
  </fills>
  <borders count="64">
    <border>
      <left/>
      <right/>
      <top/>
      <bottom/>
      <diagonal/>
    </border>
    <border>
      <left/>
      <right/>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auto="1"/>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auto="1"/>
      </top>
      <bottom/>
      <diagonal/>
    </border>
    <border>
      <left style="thin">
        <color indexed="64"/>
      </left>
      <right style="medium">
        <color indexed="64"/>
      </right>
      <top/>
      <bottom style="thin">
        <color indexed="64"/>
      </bottom>
      <diagonal/>
    </border>
    <border>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top style="medium">
        <color auto="1"/>
      </top>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auto="1"/>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44" fontId="3" fillId="0" borderId="0" applyFont="0" applyFill="0" applyBorder="0" applyAlignment="0" applyProtection="0"/>
    <xf numFmtId="0" fontId="2" fillId="0" borderId="0"/>
    <xf numFmtId="0" fontId="40" fillId="7" borderId="0" applyNumberFormat="0" applyBorder="0" applyAlignment="0" applyProtection="0"/>
    <xf numFmtId="0" fontId="42" fillId="0" borderId="0" applyNumberFormat="0" applyFill="0" applyBorder="0" applyAlignment="0" applyProtection="0"/>
    <xf numFmtId="44" fontId="44" fillId="0" borderId="0" applyFont="0" applyFill="0" applyBorder="0" applyAlignment="0" applyProtection="0"/>
    <xf numFmtId="0" fontId="1" fillId="0" borderId="0"/>
  </cellStyleXfs>
  <cellXfs count="1361">
    <xf numFmtId="0" fontId="0" fillId="0" borderId="0" xfId="0"/>
    <xf numFmtId="0" fontId="4" fillId="0" borderId="0" xfId="0" applyFont="1" applyAlignment="1">
      <alignment horizontal="center"/>
    </xf>
    <xf numFmtId="0" fontId="0" fillId="0" borderId="0" xfId="0" applyAlignment="1">
      <alignment horizontal="center"/>
    </xf>
    <xf numFmtId="1" fontId="0" fillId="0" borderId="0" xfId="0" applyNumberFormat="1" applyAlignment="1">
      <alignment horizontal="center"/>
    </xf>
    <xf numFmtId="0" fontId="8" fillId="0" borderId="0" xfId="0" applyFont="1"/>
    <xf numFmtId="165" fontId="0" fillId="0" borderId="0" xfId="0" applyNumberFormat="1" applyAlignment="1">
      <alignment horizontal="center"/>
    </xf>
    <xf numFmtId="0" fontId="6" fillId="0" borderId="0" xfId="0" applyFont="1"/>
    <xf numFmtId="0" fontId="8" fillId="0" borderId="0" xfId="0" applyFont="1" applyAlignment="1">
      <alignment horizontal="center"/>
    </xf>
    <xf numFmtId="0" fontId="6" fillId="0" borderId="0" xfId="0" applyFont="1" applyAlignment="1">
      <alignment horizontal="left"/>
    </xf>
    <xf numFmtId="2" fontId="10" fillId="0" borderId="0" xfId="0" applyNumberFormat="1" applyFont="1" applyBorder="1" applyAlignment="1">
      <alignment horizontal="center"/>
    </xf>
    <xf numFmtId="166" fontId="6" fillId="0" borderId="0" xfId="0" applyNumberFormat="1" applyFont="1" applyAlignment="1">
      <alignment horizontal="center"/>
    </xf>
    <xf numFmtId="0" fontId="4" fillId="0" borderId="0" xfId="0" applyFont="1" applyAlignment="1">
      <alignment horizontal="left"/>
    </xf>
    <xf numFmtId="0" fontId="0" fillId="0" borderId="0" xfId="0" applyBorder="1"/>
    <xf numFmtId="0" fontId="4" fillId="0" borderId="0" xfId="0" applyFont="1"/>
    <xf numFmtId="0" fontId="11" fillId="0" borderId="0" xfId="0" applyFont="1"/>
    <xf numFmtId="2" fontId="0" fillId="0" borderId="0" xfId="0" applyNumberFormat="1" applyAlignment="1">
      <alignment horizontal="center"/>
    </xf>
    <xf numFmtId="3" fontId="0" fillId="0" borderId="0" xfId="0" applyNumberFormat="1" applyAlignment="1">
      <alignment horizontal="center"/>
    </xf>
    <xf numFmtId="0" fontId="3" fillId="0" borderId="0" xfId="0" applyFont="1" applyBorder="1"/>
    <xf numFmtId="0" fontId="3" fillId="0" borderId="0" xfId="0" applyFont="1" applyBorder="1" applyAlignment="1">
      <alignment horizontal="center"/>
    </xf>
    <xf numFmtId="0" fontId="3" fillId="0" borderId="0" xfId="0" applyFont="1" applyBorder="1" applyAlignment="1">
      <alignment horizontal="left"/>
    </xf>
    <xf numFmtId="166" fontId="3" fillId="0" borderId="0" xfId="0" applyNumberFormat="1" applyFont="1" applyBorder="1" applyAlignment="1">
      <alignment horizontal="center"/>
    </xf>
    <xf numFmtId="1" fontId="3" fillId="0" borderId="0" xfId="0" applyNumberFormat="1" applyFont="1" applyBorder="1" applyAlignment="1">
      <alignment horizontal="center"/>
    </xf>
    <xf numFmtId="1" fontId="3" fillId="0" borderId="0" xfId="2" applyNumberFormat="1" applyFont="1" applyBorder="1" applyAlignment="1">
      <alignment horizontal="right"/>
    </xf>
    <xf numFmtId="1" fontId="3" fillId="0" borderId="1" xfId="0" applyNumberFormat="1" applyFont="1" applyBorder="1" applyAlignment="1">
      <alignment horizontal="center"/>
    </xf>
    <xf numFmtId="0" fontId="3" fillId="0" borderId="1" xfId="0" applyFont="1" applyBorder="1" applyAlignment="1">
      <alignment horizontal="center"/>
    </xf>
    <xf numFmtId="2" fontId="3" fillId="0" borderId="0" xfId="0" applyNumberFormat="1" applyFont="1" applyBorder="1" applyAlignment="1">
      <alignment horizontal="center"/>
    </xf>
    <xf numFmtId="0" fontId="8" fillId="0" borderId="0" xfId="0" applyFont="1" applyAlignment="1">
      <alignment horizontal="left"/>
    </xf>
    <xf numFmtId="2" fontId="10" fillId="0" borderId="0" xfId="0" applyNumberFormat="1" applyFont="1" applyBorder="1" applyAlignment="1">
      <alignment horizontal="left"/>
    </xf>
    <xf numFmtId="43" fontId="0" fillId="0" borderId="0" xfId="1" applyFont="1"/>
    <xf numFmtId="43" fontId="0" fillId="0" borderId="0" xfId="1" applyFont="1" applyAlignment="1">
      <alignment horizontal="center"/>
    </xf>
    <xf numFmtId="43" fontId="0" fillId="0" borderId="0" xfId="0" applyNumberFormat="1"/>
    <xf numFmtId="43" fontId="3" fillId="0" borderId="0" xfId="1" applyFont="1" applyBorder="1" applyAlignment="1">
      <alignment horizontal="left"/>
    </xf>
    <xf numFmtId="43" fontId="3" fillId="0" borderId="0" xfId="0" applyNumberFormat="1" applyFont="1" applyBorder="1" applyAlignment="1">
      <alignment horizontal="left"/>
    </xf>
    <xf numFmtId="0" fontId="3" fillId="0" borderId="1" xfId="0" applyFont="1" applyBorder="1"/>
    <xf numFmtId="0" fontId="6" fillId="0" borderId="0" xfId="0" applyFont="1" applyBorder="1"/>
    <xf numFmtId="0" fontId="6" fillId="0" borderId="0" xfId="0" applyFont="1" applyFill="1" applyBorder="1"/>
    <xf numFmtId="2" fontId="3" fillId="0" borderId="0" xfId="0" applyNumberFormat="1" applyFont="1" applyBorder="1" applyAlignment="1">
      <alignment horizontal="left"/>
    </xf>
    <xf numFmtId="171" fontId="0" fillId="0" borderId="0" xfId="1" applyNumberFormat="1" applyFont="1"/>
    <xf numFmtId="0" fontId="8" fillId="0" borderId="1" xfId="0" applyFont="1" applyBorder="1"/>
    <xf numFmtId="0" fontId="8" fillId="0" borderId="1" xfId="0" applyFont="1" applyBorder="1" applyAlignment="1">
      <alignment horizontal="center"/>
    </xf>
    <xf numFmtId="0" fontId="4" fillId="0" borderId="0" xfId="0" applyFont="1" applyBorder="1"/>
    <xf numFmtId="0" fontId="8" fillId="0" borderId="0" xfId="0" applyFont="1" applyBorder="1"/>
    <xf numFmtId="0" fontId="8" fillId="0" borderId="0" xfId="0" applyFont="1" applyBorder="1" applyAlignment="1">
      <alignment horizontal="center"/>
    </xf>
    <xf numFmtId="0" fontId="6" fillId="0" borderId="0" xfId="0" applyFont="1" applyBorder="1" applyAlignment="1">
      <alignment horizontal="center"/>
    </xf>
    <xf numFmtId="0" fontId="8" fillId="0" borderId="0" xfId="0" applyFont="1" applyFill="1" applyBorder="1" applyAlignment="1">
      <alignment horizontal="center"/>
    </xf>
    <xf numFmtId="0" fontId="11" fillId="0" borderId="0" xfId="0" applyFont="1" applyAlignment="1">
      <alignment horizontal="center"/>
    </xf>
    <xf numFmtId="166" fontId="0" fillId="0" borderId="0" xfId="0" applyNumberFormat="1" applyAlignment="1">
      <alignment horizontal="center"/>
    </xf>
    <xf numFmtId="170" fontId="8" fillId="0" borderId="0" xfId="1" applyNumberFormat="1" applyFont="1" applyAlignment="1">
      <alignment horizontal="center"/>
    </xf>
    <xf numFmtId="0" fontId="8" fillId="0" borderId="0" xfId="0" applyFont="1" applyBorder="1" applyAlignment="1"/>
    <xf numFmtId="0" fontId="8" fillId="0" borderId="1" xfId="0" applyFont="1" applyBorder="1" applyAlignment="1">
      <alignment horizontal="left"/>
    </xf>
    <xf numFmtId="170" fontId="8" fillId="0" borderId="1" xfId="1" applyNumberFormat="1" applyFont="1" applyBorder="1" applyAlignment="1">
      <alignment horizontal="center"/>
    </xf>
    <xf numFmtId="170" fontId="6" fillId="0" borderId="0" xfId="1" applyNumberFormat="1" applyFont="1" applyBorder="1" applyAlignment="1">
      <alignment horizontal="center"/>
    </xf>
    <xf numFmtId="170" fontId="6" fillId="0" borderId="0" xfId="1" applyNumberFormat="1" applyFont="1" applyAlignment="1">
      <alignment horizontal="center"/>
    </xf>
    <xf numFmtId="38" fontId="6" fillId="0" borderId="0" xfId="1" applyNumberFormat="1" applyFont="1" applyAlignment="1">
      <alignment horizontal="right"/>
    </xf>
    <xf numFmtId="0" fontId="12" fillId="0" borderId="0" xfId="0" applyFont="1"/>
    <xf numFmtId="0" fontId="8" fillId="0" borderId="0" xfId="0" applyFont="1" applyFill="1" applyBorder="1"/>
    <xf numFmtId="166" fontId="0" fillId="0" borderId="0" xfId="0" applyNumberFormat="1"/>
    <xf numFmtId="2" fontId="8" fillId="0" borderId="0" xfId="0" applyNumberFormat="1" applyFont="1" applyBorder="1" applyAlignment="1">
      <alignment horizontal="center"/>
    </xf>
    <xf numFmtId="174" fontId="6" fillId="2" borderId="0" xfId="1" applyNumberFormat="1" applyFont="1" applyFill="1" applyAlignment="1">
      <alignment horizontal="right"/>
    </xf>
    <xf numFmtId="169" fontId="6" fillId="0" borderId="0" xfId="1" applyNumberFormat="1" applyFont="1" applyBorder="1" applyAlignment="1">
      <alignment horizontal="center"/>
    </xf>
    <xf numFmtId="172" fontId="0" fillId="0" borderId="0" xfId="0" applyNumberFormat="1"/>
    <xf numFmtId="2" fontId="0" fillId="0" borderId="0" xfId="0" applyNumberFormat="1"/>
    <xf numFmtId="170" fontId="6" fillId="0" borderId="0" xfId="1" applyNumberFormat="1" applyFont="1" applyBorder="1" applyAlignment="1">
      <alignment horizontal="left"/>
    </xf>
    <xf numFmtId="170" fontId="0" fillId="0" borderId="0" xfId="0" applyNumberFormat="1"/>
    <xf numFmtId="170" fontId="0" fillId="0" borderId="1" xfId="0" applyNumberFormat="1" applyBorder="1"/>
    <xf numFmtId="40" fontId="0" fillId="0" borderId="0" xfId="0" applyNumberFormat="1"/>
    <xf numFmtId="1" fontId="6" fillId="2" borderId="0" xfId="0" applyNumberFormat="1" applyFont="1" applyFill="1" applyBorder="1" applyAlignment="1">
      <alignment horizontal="center"/>
    </xf>
    <xf numFmtId="2" fontId="0" fillId="2" borderId="0" xfId="0" applyNumberFormat="1" applyFill="1" applyAlignment="1">
      <alignment horizontal="center"/>
    </xf>
    <xf numFmtId="166" fontId="0" fillId="2" borderId="0" xfId="0" applyNumberFormat="1" applyFill="1" applyAlignment="1">
      <alignment horizontal="center"/>
    </xf>
    <xf numFmtId="0" fontId="0" fillId="2" borderId="0" xfId="0" applyFill="1" applyAlignment="1">
      <alignment horizontal="center"/>
    </xf>
    <xf numFmtId="38" fontId="6" fillId="2" borderId="0" xfId="1" applyNumberFormat="1" applyFont="1" applyFill="1" applyAlignment="1">
      <alignment horizontal="right"/>
    </xf>
    <xf numFmtId="170" fontId="6" fillId="2" borderId="0" xfId="1" applyNumberFormat="1" applyFont="1" applyFill="1" applyBorder="1" applyAlignment="1">
      <alignment horizontal="center"/>
    </xf>
    <xf numFmtId="2" fontId="0" fillId="0" borderId="0" xfId="0" applyNumberFormat="1" applyFill="1" applyAlignment="1">
      <alignment horizontal="center"/>
    </xf>
    <xf numFmtId="165" fontId="6" fillId="0" borderId="0" xfId="0" applyNumberFormat="1" applyFont="1" applyAlignment="1">
      <alignment horizontal="center"/>
    </xf>
    <xf numFmtId="0" fontId="0" fillId="0" borderId="0" xfId="0" applyFill="1"/>
    <xf numFmtId="0" fontId="0" fillId="0" borderId="3" xfId="0" applyBorder="1"/>
    <xf numFmtId="2" fontId="3" fillId="0" borderId="0" xfId="0" applyNumberFormat="1" applyFont="1" applyFill="1" applyBorder="1" applyAlignment="1">
      <alignment horizontal="center"/>
    </xf>
    <xf numFmtId="2" fontId="0" fillId="3" borderId="0" xfId="0" applyNumberFormat="1" applyFill="1" applyAlignment="1">
      <alignment horizontal="center"/>
    </xf>
    <xf numFmtId="170" fontId="0" fillId="0" borderId="0" xfId="1" applyNumberFormat="1" applyFont="1"/>
    <xf numFmtId="169" fontId="0" fillId="0" borderId="0" xfId="1" applyNumberFormat="1" applyFont="1" applyAlignment="1">
      <alignment horizontal="right"/>
    </xf>
    <xf numFmtId="170" fontId="0" fillId="0" borderId="0" xfId="1" applyNumberFormat="1" applyFont="1" applyAlignment="1">
      <alignment horizontal="right"/>
    </xf>
    <xf numFmtId="169" fontId="0" fillId="0" borderId="0" xfId="0" applyNumberFormat="1"/>
    <xf numFmtId="3" fontId="0" fillId="0" borderId="0" xfId="0" applyNumberFormat="1"/>
    <xf numFmtId="169" fontId="6" fillId="2" borderId="0" xfId="1" applyNumberFormat="1" applyFont="1" applyFill="1" applyBorder="1" applyAlignment="1">
      <alignment horizontal="center"/>
    </xf>
    <xf numFmtId="0" fontId="0" fillId="0" borderId="0" xfId="0" applyFill="1" applyAlignment="1">
      <alignment horizontal="center"/>
    </xf>
    <xf numFmtId="0" fontId="3" fillId="0" borderId="0" xfId="0" applyFont="1" applyFill="1" applyBorder="1" applyAlignment="1">
      <alignment horizontal="center"/>
    </xf>
    <xf numFmtId="165" fontId="0" fillId="0" borderId="0" xfId="0" applyNumberFormat="1" applyFill="1" applyAlignment="1">
      <alignment horizontal="center"/>
    </xf>
    <xf numFmtId="165" fontId="0" fillId="0" borderId="0" xfId="0" applyNumberFormat="1"/>
    <xf numFmtId="1" fontId="0" fillId="0" borderId="0" xfId="0" applyNumberFormat="1" applyFill="1" applyAlignment="1">
      <alignment horizontal="center"/>
    </xf>
    <xf numFmtId="3" fontId="6" fillId="0" borderId="0" xfId="0" applyNumberFormat="1" applyFont="1" applyFill="1" applyBorder="1" applyAlignment="1">
      <alignment horizontal="center"/>
    </xf>
    <xf numFmtId="1" fontId="8" fillId="0" borderId="0" xfId="0" applyNumberFormat="1" applyFont="1" applyAlignment="1">
      <alignment horizontal="center"/>
    </xf>
    <xf numFmtId="0" fontId="8" fillId="0" borderId="5" xfId="0" applyFont="1" applyBorder="1"/>
    <xf numFmtId="0" fontId="0" fillId="0" borderId="2" xfId="0" applyBorder="1"/>
    <xf numFmtId="0" fontId="0" fillId="0" borderId="3" xfId="0" applyFill="1" applyBorder="1"/>
    <xf numFmtId="0" fontId="3" fillId="0" borderId="0" xfId="0" applyFont="1" applyFill="1" applyBorder="1" applyAlignment="1">
      <alignment horizontal="left"/>
    </xf>
    <xf numFmtId="0" fontId="4" fillId="0" borderId="0" xfId="0" applyFont="1" applyAlignment="1">
      <alignment horizontal="right"/>
    </xf>
    <xf numFmtId="0" fontId="3" fillId="0" borderId="0" xfId="0" applyFont="1" applyFill="1" applyBorder="1"/>
    <xf numFmtId="2" fontId="6" fillId="0" borderId="0" xfId="0" applyNumberFormat="1" applyFont="1" applyFill="1" applyBorder="1" applyAlignment="1">
      <alignment horizontal="center"/>
    </xf>
    <xf numFmtId="1" fontId="3" fillId="0" borderId="0" xfId="0" applyNumberFormat="1" applyFont="1" applyFill="1" applyBorder="1" applyAlignment="1">
      <alignment horizontal="center"/>
    </xf>
    <xf numFmtId="170" fontId="6" fillId="0" borderId="0" xfId="1" applyNumberFormat="1" applyFont="1" applyFill="1" applyBorder="1" applyAlignment="1">
      <alignment horizontal="center"/>
    </xf>
    <xf numFmtId="38" fontId="8" fillId="0" borderId="0" xfId="1" applyNumberFormat="1" applyFont="1" applyBorder="1" applyAlignment="1">
      <alignment horizontal="center"/>
    </xf>
    <xf numFmtId="0" fontId="6" fillId="0" borderId="0" xfId="0" applyFont="1" applyFill="1" applyBorder="1" applyAlignment="1">
      <alignment horizontal="center"/>
    </xf>
    <xf numFmtId="1" fontId="6" fillId="0" borderId="0" xfId="1" applyNumberFormat="1" applyFont="1" applyBorder="1" applyAlignment="1">
      <alignment horizontal="center"/>
    </xf>
    <xf numFmtId="165" fontId="0" fillId="2" borderId="0" xfId="0" applyNumberFormat="1" applyFill="1" applyAlignment="1">
      <alignment horizontal="center"/>
    </xf>
    <xf numFmtId="165" fontId="6" fillId="0" borderId="0" xfId="1" applyNumberFormat="1" applyFont="1" applyBorder="1" applyAlignment="1">
      <alignment horizontal="center"/>
    </xf>
    <xf numFmtId="166" fontId="0" fillId="0" borderId="0" xfId="0" applyNumberFormat="1" applyFill="1" applyAlignment="1">
      <alignment horizontal="center"/>
    </xf>
    <xf numFmtId="1" fontId="15" fillId="0" borderId="0" xfId="0" applyNumberFormat="1" applyFont="1" applyBorder="1" applyAlignment="1">
      <alignment horizontal="center"/>
    </xf>
    <xf numFmtId="1" fontId="0" fillId="0" borderId="0" xfId="0" applyNumberFormat="1"/>
    <xf numFmtId="4" fontId="0" fillId="0" borderId="0" xfId="0" applyNumberFormat="1" applyAlignment="1">
      <alignment horizontal="center"/>
    </xf>
    <xf numFmtId="40" fontId="6" fillId="2" borderId="0" xfId="1" applyNumberFormat="1" applyFont="1" applyFill="1" applyAlignment="1">
      <alignment horizontal="center"/>
    </xf>
    <xf numFmtId="0" fontId="15" fillId="0" borderId="0" xfId="0" applyFont="1"/>
    <xf numFmtId="170" fontId="0" fillId="0" borderId="0" xfId="0" applyNumberFormat="1" applyBorder="1"/>
    <xf numFmtId="168" fontId="0" fillId="0" borderId="0" xfId="0" applyNumberFormat="1" applyAlignment="1">
      <alignment horizontal="center"/>
    </xf>
    <xf numFmtId="38" fontId="0" fillId="0" borderId="0" xfId="0" applyNumberFormat="1" applyAlignment="1">
      <alignment horizontal="center"/>
    </xf>
    <xf numFmtId="0" fontId="15" fillId="0" borderId="0" xfId="0" applyFont="1" applyBorder="1"/>
    <xf numFmtId="170" fontId="0" fillId="2" borderId="0" xfId="0" applyNumberFormat="1" applyFill="1"/>
    <xf numFmtId="38" fontId="15" fillId="0" borderId="0" xfId="1" applyNumberFormat="1" applyFont="1" applyAlignment="1">
      <alignment horizontal="right"/>
    </xf>
    <xf numFmtId="0" fontId="18" fillId="0" borderId="0" xfId="0" applyFont="1"/>
    <xf numFmtId="38" fontId="18" fillId="0" borderId="0" xfId="0" applyNumberFormat="1" applyFont="1"/>
    <xf numFmtId="38" fontId="8" fillId="0" borderId="0" xfId="0" applyNumberFormat="1" applyFont="1"/>
    <xf numFmtId="40" fontId="8" fillId="0" borderId="0" xfId="0" applyNumberFormat="1" applyFont="1"/>
    <xf numFmtId="0" fontId="14" fillId="0" borderId="0" xfId="0" applyFont="1"/>
    <xf numFmtId="0" fontId="12" fillId="0" borderId="0" xfId="0" applyFont="1" applyBorder="1"/>
    <xf numFmtId="167" fontId="0" fillId="0" borderId="0" xfId="0" applyNumberFormat="1" applyAlignment="1">
      <alignment horizontal="center"/>
    </xf>
    <xf numFmtId="176" fontId="0" fillId="0" borderId="0" xfId="0" applyNumberFormat="1" applyAlignment="1">
      <alignment horizontal="center"/>
    </xf>
    <xf numFmtId="167" fontId="0" fillId="0" borderId="0" xfId="0" applyNumberFormat="1"/>
    <xf numFmtId="176" fontId="0" fillId="0" borderId="0" xfId="0" applyNumberFormat="1"/>
    <xf numFmtId="4" fontId="0" fillId="0" borderId="0" xfId="0" applyNumberFormat="1"/>
    <xf numFmtId="168" fontId="0" fillId="0" borderId="0" xfId="0" applyNumberFormat="1"/>
    <xf numFmtId="170" fontId="3" fillId="0" borderId="0" xfId="0" applyNumberFormat="1" applyFont="1" applyFill="1" applyBorder="1" applyAlignment="1">
      <alignment horizontal="left"/>
    </xf>
    <xf numFmtId="0" fontId="14" fillId="0" borderId="0" xfId="0" applyFont="1" applyAlignment="1">
      <alignment horizontal="center"/>
    </xf>
    <xf numFmtId="2" fontId="14" fillId="0" borderId="0" xfId="0" applyNumberFormat="1" applyFont="1" applyFill="1" applyAlignment="1">
      <alignment horizontal="center"/>
    </xf>
    <xf numFmtId="0" fontId="4" fillId="0" borderId="0" xfId="0" applyFont="1" applyFill="1" applyBorder="1"/>
    <xf numFmtId="2" fontId="0" fillId="0" borderId="0" xfId="0" applyNumberFormat="1" applyFill="1" applyBorder="1" applyAlignment="1">
      <alignment horizontal="center"/>
    </xf>
    <xf numFmtId="4" fontId="0" fillId="4" borderId="0" xfId="0" applyNumberFormat="1" applyFill="1" applyAlignment="1">
      <alignment horizontal="center"/>
    </xf>
    <xf numFmtId="2" fontId="14" fillId="0" borderId="0" xfId="0" applyNumberFormat="1" applyFont="1" applyFill="1" applyBorder="1" applyAlignment="1">
      <alignment horizontal="center"/>
    </xf>
    <xf numFmtId="4" fontId="0" fillId="0" borderId="0" xfId="0" applyNumberFormat="1" applyFill="1" applyAlignment="1">
      <alignment horizontal="center"/>
    </xf>
    <xf numFmtId="43" fontId="0" fillId="0" borderId="1" xfId="1" applyFont="1" applyBorder="1"/>
    <xf numFmtId="1" fontId="6" fillId="0" borderId="0" xfId="0" applyNumberFormat="1" applyFont="1" applyBorder="1" applyAlignment="1">
      <alignment horizontal="center"/>
    </xf>
    <xf numFmtId="40" fontId="0" fillId="2" borderId="0" xfId="0" applyNumberFormat="1" applyFill="1" applyAlignment="1">
      <alignment horizontal="center"/>
    </xf>
    <xf numFmtId="170" fontId="0" fillId="0" borderId="0" xfId="1" applyNumberFormat="1" applyFont="1" applyAlignment="1">
      <alignment horizontal="center"/>
    </xf>
    <xf numFmtId="0" fontId="8" fillId="0" borderId="0" xfId="0" applyFont="1" applyFill="1"/>
    <xf numFmtId="0" fontId="4" fillId="0" borderId="0" xfId="0" applyFont="1" applyFill="1" applyAlignment="1">
      <alignment horizontal="center"/>
    </xf>
    <xf numFmtId="179" fontId="8" fillId="0" borderId="0" xfId="0" applyNumberFormat="1" applyFont="1" applyBorder="1"/>
    <xf numFmtId="0" fontId="15" fillId="0" borderId="0" xfId="0" applyFont="1" applyBorder="1" applyAlignment="1">
      <alignment horizontal="center"/>
    </xf>
    <xf numFmtId="164" fontId="0" fillId="4" borderId="0" xfId="0" applyNumberFormat="1" applyFill="1" applyAlignment="1">
      <alignment horizontal="center"/>
    </xf>
    <xf numFmtId="0" fontId="6" fillId="2" borderId="0" xfId="0" applyFont="1" applyFill="1" applyBorder="1" applyAlignment="1">
      <alignment horizontal="center"/>
    </xf>
    <xf numFmtId="166" fontId="6" fillId="2" borderId="0" xfId="0" applyNumberFormat="1" applyFont="1" applyFill="1" applyAlignment="1">
      <alignment horizontal="center"/>
    </xf>
    <xf numFmtId="167" fontId="6" fillId="2" borderId="0" xfId="0" applyNumberFormat="1" applyFont="1" applyFill="1" applyAlignment="1">
      <alignment horizontal="center"/>
    </xf>
    <xf numFmtId="0" fontId="3" fillId="0" borderId="0" xfId="0" applyFont="1" applyAlignment="1">
      <alignment horizontal="center"/>
    </xf>
    <xf numFmtId="0" fontId="8" fillId="0" borderId="0" xfId="0" applyFont="1" applyFill="1" applyAlignment="1">
      <alignment horizontal="center"/>
    </xf>
    <xf numFmtId="0" fontId="21" fillId="0" borderId="0" xfId="0" applyFont="1" applyAlignment="1">
      <alignment horizontal="center"/>
    </xf>
    <xf numFmtId="0" fontId="19" fillId="0" borderId="0" xfId="0" applyFont="1"/>
    <xf numFmtId="168" fontId="0" fillId="2" borderId="0" xfId="0" applyNumberFormat="1" applyFill="1" applyAlignment="1">
      <alignment horizontal="center"/>
    </xf>
    <xf numFmtId="0" fontId="22" fillId="0" borderId="0" xfId="0" applyFont="1" applyAlignment="1">
      <alignment horizontal="center"/>
    </xf>
    <xf numFmtId="3" fontId="0" fillId="0" borderId="0" xfId="0" applyNumberFormat="1" applyFill="1" applyAlignment="1">
      <alignment horizontal="center"/>
    </xf>
    <xf numFmtId="167" fontId="0" fillId="0" borderId="0" xfId="0" applyNumberFormat="1" applyFill="1" applyAlignment="1">
      <alignment horizontal="center"/>
    </xf>
    <xf numFmtId="176" fontId="0" fillId="0" borderId="0" xfId="0" applyNumberFormat="1" applyFill="1" applyAlignment="1">
      <alignment horizontal="center"/>
    </xf>
    <xf numFmtId="1" fontId="0" fillId="2" borderId="0" xfId="0" applyNumberFormat="1" applyFill="1" applyAlignment="1">
      <alignment horizontal="center"/>
    </xf>
    <xf numFmtId="0" fontId="23" fillId="0" borderId="0" xfId="0" applyFont="1" applyAlignment="1">
      <alignment horizontal="center"/>
    </xf>
    <xf numFmtId="167" fontId="23" fillId="0" borderId="0" xfId="0" applyNumberFormat="1" applyFont="1" applyAlignment="1">
      <alignment horizontal="center"/>
    </xf>
    <xf numFmtId="0" fontId="3" fillId="0" borderId="0" xfId="0" applyFont="1"/>
    <xf numFmtId="165" fontId="3" fillId="0" borderId="0" xfId="0" applyNumberFormat="1" applyFont="1" applyAlignment="1">
      <alignment horizontal="center"/>
    </xf>
    <xf numFmtId="0" fontId="0" fillId="0" borderId="0" xfId="0" applyAlignment="1">
      <alignment horizontal="center"/>
    </xf>
    <xf numFmtId="0" fontId="24" fillId="0" borderId="0" xfId="0" applyFont="1"/>
    <xf numFmtId="1" fontId="3" fillId="0" borderId="0" xfId="0" applyNumberFormat="1" applyFont="1" applyAlignment="1">
      <alignment horizontal="center"/>
    </xf>
    <xf numFmtId="0" fontId="3" fillId="0" borderId="0" xfId="0" applyFont="1" applyAlignment="1">
      <alignment horizontal="left"/>
    </xf>
    <xf numFmtId="40" fontId="8" fillId="0" borderId="0" xfId="0" applyNumberFormat="1" applyFont="1" applyAlignment="1"/>
    <xf numFmtId="0" fontId="26" fillId="0" borderId="0" xfId="0" applyFont="1"/>
    <xf numFmtId="0" fontId="26" fillId="0" borderId="0" xfId="0" applyFont="1" applyAlignment="1">
      <alignment horizontal="center"/>
    </xf>
    <xf numFmtId="165" fontId="3" fillId="0" borderId="0" xfId="0" applyNumberFormat="1" applyFont="1" applyFill="1" applyAlignment="1">
      <alignment horizontal="center"/>
    </xf>
    <xf numFmtId="0" fontId="3" fillId="0" borderId="0" xfId="0" applyFont="1" applyFill="1"/>
    <xf numFmtId="0" fontId="12" fillId="0" borderId="0" xfId="0" applyFont="1" applyBorder="1" applyAlignment="1">
      <alignment horizontal="center"/>
    </xf>
    <xf numFmtId="1" fontId="12" fillId="0" borderId="0" xfId="0" applyNumberFormat="1" applyFont="1" applyBorder="1" applyAlignment="1">
      <alignment horizontal="center"/>
    </xf>
    <xf numFmtId="165" fontId="6" fillId="0" borderId="0" xfId="0" applyNumberFormat="1" applyFont="1" applyFill="1" applyBorder="1" applyAlignment="1">
      <alignment horizontal="center"/>
    </xf>
    <xf numFmtId="0" fontId="3" fillId="5" borderId="0" xfId="0" applyFont="1" applyFill="1" applyAlignment="1">
      <alignment horizontal="center"/>
    </xf>
    <xf numFmtId="166" fontId="6" fillId="0" borderId="0" xfId="0" applyNumberFormat="1" applyFont="1" applyFill="1" applyBorder="1" applyAlignment="1">
      <alignment horizontal="center"/>
    </xf>
    <xf numFmtId="0" fontId="8" fillId="0" borderId="0" xfId="0" applyFont="1" applyAlignment="1">
      <alignment horizontal="center"/>
    </xf>
    <xf numFmtId="2" fontId="6" fillId="0" borderId="0" xfId="0" applyNumberFormat="1" applyFont="1" applyBorder="1" applyAlignment="1">
      <alignment horizontal="center"/>
    </xf>
    <xf numFmtId="0" fontId="0" fillId="0" borderId="0" xfId="0" applyAlignment="1">
      <alignment vertical="center"/>
    </xf>
    <xf numFmtId="167" fontId="0" fillId="6" borderId="0" xfId="0" applyNumberFormat="1" applyFill="1" applyAlignment="1">
      <alignment horizontal="center"/>
    </xf>
    <xf numFmtId="168" fontId="0" fillId="6" borderId="0" xfId="0" applyNumberFormat="1" applyFill="1" applyAlignment="1">
      <alignment horizontal="center"/>
    </xf>
    <xf numFmtId="0" fontId="15" fillId="0" borderId="0" xfId="0" applyFont="1" applyFill="1" applyBorder="1" applyAlignment="1">
      <alignment horizontal="center"/>
    </xf>
    <xf numFmtId="1" fontId="6" fillId="0" borderId="0" xfId="0" applyNumberFormat="1" applyFont="1" applyFill="1" applyBorder="1" applyAlignment="1">
      <alignment horizontal="center"/>
    </xf>
    <xf numFmtId="0" fontId="3" fillId="0" borderId="0" xfId="0" applyFont="1" applyFill="1" applyAlignment="1">
      <alignment horizontal="center"/>
    </xf>
    <xf numFmtId="2" fontId="3" fillId="0" borderId="0" xfId="0" applyNumberFormat="1" applyFont="1" applyAlignment="1">
      <alignment horizontal="center"/>
    </xf>
    <xf numFmtId="43" fontId="0" fillId="0" borderId="0" xfId="1" applyFont="1" applyBorder="1" applyAlignment="1">
      <alignment horizontal="center"/>
    </xf>
    <xf numFmtId="0" fontId="0" fillId="6" borderId="0" xfId="0" applyFill="1" applyAlignment="1">
      <alignment horizontal="center"/>
    </xf>
    <xf numFmtId="164" fontId="0" fillId="0" borderId="0" xfId="0" applyNumberFormat="1" applyFill="1" applyAlignment="1">
      <alignment horizontal="center"/>
    </xf>
    <xf numFmtId="0" fontId="27" fillId="0" borderId="0" xfId="0" applyFont="1"/>
    <xf numFmtId="168" fontId="0" fillId="0" borderId="0" xfId="0" applyNumberFormat="1" applyFill="1" applyAlignment="1">
      <alignment horizontal="center"/>
    </xf>
    <xf numFmtId="0" fontId="0" fillId="6" borderId="0" xfId="0" applyFill="1"/>
    <xf numFmtId="0" fontId="3" fillId="6" borderId="0" xfId="0" applyFont="1" applyFill="1" applyAlignment="1">
      <alignment horizontal="left"/>
    </xf>
    <xf numFmtId="0" fontId="3" fillId="0" borderId="0" xfId="0" applyFont="1" applyFill="1" applyAlignment="1">
      <alignment horizontal="left"/>
    </xf>
    <xf numFmtId="180" fontId="6" fillId="2" borderId="0" xfId="1" applyNumberFormat="1" applyFont="1" applyFill="1" applyAlignment="1">
      <alignment horizontal="right"/>
    </xf>
    <xf numFmtId="166" fontId="3" fillId="0" borderId="0" xfId="0" applyNumberFormat="1" applyFont="1" applyAlignment="1">
      <alignment horizontal="center"/>
    </xf>
    <xf numFmtId="170" fontId="3" fillId="0" borderId="0" xfId="0" applyNumberFormat="1" applyFont="1"/>
    <xf numFmtId="0" fontId="3" fillId="6" borderId="0" xfId="0" applyFont="1" applyFill="1" applyAlignment="1">
      <alignment horizontal="center"/>
    </xf>
    <xf numFmtId="170" fontId="0" fillId="0" borderId="1" xfId="1" applyNumberFormat="1" applyFont="1" applyBorder="1" applyAlignment="1">
      <alignment horizontal="center"/>
    </xf>
    <xf numFmtId="170" fontId="0" fillId="0" borderId="0" xfId="1" applyNumberFormat="1" applyFont="1" applyBorder="1" applyAlignment="1">
      <alignment horizontal="center"/>
    </xf>
    <xf numFmtId="0" fontId="8" fillId="0" borderId="0" xfId="0" applyFont="1" applyAlignment="1">
      <alignment horizontal="center"/>
    </xf>
    <xf numFmtId="166" fontId="3" fillId="0" borderId="0" xfId="0" applyNumberFormat="1" applyFont="1"/>
    <xf numFmtId="0" fontId="8" fillId="0" borderId="1" xfId="0" applyFont="1" applyBorder="1" applyAlignment="1">
      <alignment horizontal="center"/>
    </xf>
    <xf numFmtId="0" fontId="8" fillId="0" borderId="1" xfId="0" applyFont="1" applyBorder="1" applyAlignment="1">
      <alignment horizontal="center"/>
    </xf>
    <xf numFmtId="0" fontId="4" fillId="0" borderId="0" xfId="0" applyFont="1" applyAlignment="1"/>
    <xf numFmtId="166" fontId="8" fillId="0" borderId="0" xfId="0" applyNumberFormat="1" applyFont="1" applyAlignment="1">
      <alignment horizontal="center"/>
    </xf>
    <xf numFmtId="0" fontId="26" fillId="0" borderId="0" xfId="0" applyFont="1" applyAlignment="1">
      <alignment horizontal="right"/>
    </xf>
    <xf numFmtId="169" fontId="0" fillId="0" borderId="0" xfId="1" applyNumberFormat="1" applyFont="1" applyFill="1" applyAlignment="1">
      <alignment horizontal="right"/>
    </xf>
    <xf numFmtId="0" fontId="24" fillId="0" borderId="0" xfId="0" applyFont="1" applyBorder="1"/>
    <xf numFmtId="0" fontId="24" fillId="0" borderId="0" xfId="0" applyFont="1" applyBorder="1" applyAlignment="1">
      <alignment horizontal="left"/>
    </xf>
    <xf numFmtId="0" fontId="24" fillId="0" borderId="0" xfId="0" applyFont="1" applyFill="1" applyBorder="1" applyAlignment="1">
      <alignment horizontal="left"/>
    </xf>
    <xf numFmtId="0" fontId="24" fillId="0" borderId="0" xfId="0" applyFont="1" applyAlignment="1">
      <alignment horizontal="center"/>
    </xf>
    <xf numFmtId="166" fontId="24" fillId="0" borderId="0" xfId="0" applyNumberFormat="1" applyFont="1" applyBorder="1" applyAlignment="1">
      <alignment horizontal="center"/>
    </xf>
    <xf numFmtId="0" fontId="24" fillId="0" borderId="0" xfId="0" applyFont="1" applyFill="1" applyBorder="1"/>
    <xf numFmtId="0" fontId="24" fillId="0" borderId="1" xfId="0" applyFont="1" applyBorder="1" applyAlignment="1">
      <alignment horizontal="center"/>
    </xf>
    <xf numFmtId="0" fontId="24" fillId="0" borderId="1" xfId="0" applyFont="1" applyBorder="1" applyAlignment="1">
      <alignment horizontal="left"/>
    </xf>
    <xf numFmtId="170" fontId="24" fillId="0" borderId="0" xfId="1" applyNumberFormat="1" applyFont="1" applyAlignment="1">
      <alignment horizontal="center"/>
    </xf>
    <xf numFmtId="170" fontId="24" fillId="0" borderId="1" xfId="1" applyNumberFormat="1" applyFont="1" applyBorder="1" applyAlignment="1">
      <alignment horizontal="center"/>
    </xf>
    <xf numFmtId="0" fontId="24" fillId="0" borderId="0" xfId="0" applyFont="1" applyBorder="1" applyAlignment="1">
      <alignment horizontal="center"/>
    </xf>
    <xf numFmtId="165" fontId="6" fillId="6" borderId="0" xfId="1" applyNumberFormat="1" applyFont="1" applyFill="1" applyBorder="1" applyAlignment="1">
      <alignment horizontal="center"/>
    </xf>
    <xf numFmtId="164" fontId="6" fillId="6" borderId="0" xfId="0" applyNumberFormat="1" applyFont="1" applyFill="1" applyBorder="1" applyAlignment="1">
      <alignment horizontal="center"/>
    </xf>
    <xf numFmtId="0" fontId="4" fillId="0" borderId="0" xfId="0" applyFont="1" applyAlignment="1">
      <alignment horizontal="center"/>
    </xf>
    <xf numFmtId="0" fontId="8" fillId="0" borderId="0" xfId="0" applyFont="1" applyAlignment="1">
      <alignment horizontal="center"/>
    </xf>
    <xf numFmtId="0" fontId="13" fillId="0" borderId="0" xfId="0" applyFont="1" applyAlignment="1">
      <alignment horizontal="center"/>
    </xf>
    <xf numFmtId="167" fontId="3" fillId="6" borderId="0" xfId="0" applyNumberFormat="1" applyFont="1" applyFill="1" applyAlignment="1">
      <alignment horizontal="center"/>
    </xf>
    <xf numFmtId="0" fontId="0" fillId="0" borderId="0" xfId="0" applyFill="1" applyProtection="1">
      <protection locked="0"/>
    </xf>
    <xf numFmtId="0" fontId="0" fillId="0" borderId="0" xfId="0" applyProtection="1">
      <protection locked="0"/>
    </xf>
    <xf numFmtId="0" fontId="4" fillId="0" borderId="0" xfId="0" applyNumberFormat="1" applyFont="1" applyFill="1" applyAlignment="1"/>
    <xf numFmtId="170" fontId="3" fillId="6" borderId="0" xfId="0" applyNumberFormat="1" applyFont="1" applyFill="1"/>
    <xf numFmtId="0" fontId="29" fillId="0" borderId="0" xfId="0" applyFont="1" applyBorder="1" applyAlignment="1">
      <alignment horizontal="center"/>
    </xf>
    <xf numFmtId="0" fontId="29" fillId="0" borderId="0" xfId="0" applyFont="1" applyBorder="1" applyAlignment="1">
      <alignment horizontal="left"/>
    </xf>
    <xf numFmtId="0" fontId="8" fillId="0" borderId="1" xfId="0" applyFont="1" applyBorder="1" applyAlignment="1">
      <alignment horizontal="center"/>
    </xf>
    <xf numFmtId="40" fontId="4" fillId="0" borderId="0" xfId="0" applyNumberFormat="1" applyFont="1" applyAlignment="1"/>
    <xf numFmtId="0" fontId="24" fillId="0" borderId="0" xfId="1" applyNumberFormat="1" applyFont="1" applyBorder="1" applyAlignment="1">
      <alignment horizontal="left"/>
    </xf>
    <xf numFmtId="165" fontId="3" fillId="0" borderId="0" xfId="0" applyNumberFormat="1" applyFont="1" applyBorder="1" applyAlignment="1">
      <alignment horizontal="center"/>
    </xf>
    <xf numFmtId="0" fontId="0" fillId="0" borderId="1" xfId="0" applyBorder="1"/>
    <xf numFmtId="1" fontId="0" fillId="0" borderId="0" xfId="0" applyNumberFormat="1" applyBorder="1"/>
    <xf numFmtId="176" fontId="3" fillId="6" borderId="0" xfId="0" applyNumberFormat="1" applyFont="1" applyFill="1" applyAlignment="1">
      <alignment horizontal="center"/>
    </xf>
    <xf numFmtId="166" fontId="6" fillId="6" borderId="0" xfId="0" applyNumberFormat="1" applyFont="1" applyFill="1" applyBorder="1" applyAlignment="1">
      <alignment horizontal="center"/>
    </xf>
    <xf numFmtId="165" fontId="3" fillId="0" borderId="0" xfId="0" applyNumberFormat="1" applyFont="1" applyFill="1" applyBorder="1" applyAlignment="1">
      <alignment horizontal="center"/>
    </xf>
    <xf numFmtId="0" fontId="30" fillId="0" borderId="0" xfId="0" applyFont="1"/>
    <xf numFmtId="175" fontId="6" fillId="0" borderId="0" xfId="0" applyNumberFormat="1" applyFont="1" applyFill="1" applyBorder="1" applyAlignment="1">
      <alignment horizontal="center"/>
    </xf>
    <xf numFmtId="0" fontId="28" fillId="0" borderId="0" xfId="0" applyFont="1"/>
    <xf numFmtId="165" fontId="3" fillId="0" borderId="0" xfId="0" applyNumberFormat="1" applyFont="1"/>
    <xf numFmtId="0" fontId="31" fillId="0" borderId="0" xfId="0" applyFont="1"/>
    <xf numFmtId="0" fontId="26" fillId="0" borderId="0" xfId="0" applyFont="1" applyFill="1" applyBorder="1"/>
    <xf numFmtId="0" fontId="26" fillId="0" borderId="0" xfId="0" applyFont="1" applyFill="1" applyAlignment="1">
      <alignment horizontal="left"/>
    </xf>
    <xf numFmtId="166" fontId="26" fillId="0" borderId="0" xfId="0" applyNumberFormat="1" applyFont="1" applyFill="1" applyAlignment="1">
      <alignment horizontal="left"/>
    </xf>
    <xf numFmtId="1" fontId="0" fillId="6" borderId="0" xfId="0" applyNumberFormat="1" applyFill="1" applyAlignment="1">
      <alignment horizontal="center"/>
    </xf>
    <xf numFmtId="165" fontId="3" fillId="0" borderId="0" xfId="0" quotePrefix="1" applyNumberFormat="1" applyFont="1" applyFill="1" applyAlignment="1">
      <alignment horizontal="center"/>
    </xf>
    <xf numFmtId="165" fontId="0" fillId="6" borderId="0" xfId="0" applyNumberFormat="1" applyFill="1" applyAlignment="1">
      <alignment horizontal="center"/>
    </xf>
    <xf numFmtId="175" fontId="3" fillId="0" borderId="0" xfId="0" applyNumberFormat="1" applyFont="1" applyBorder="1" applyAlignment="1">
      <alignment horizontal="center"/>
    </xf>
    <xf numFmtId="165" fontId="3" fillId="6" borderId="0" xfId="0" applyNumberFormat="1" applyFont="1" applyFill="1" applyBorder="1" applyAlignment="1">
      <alignment horizontal="center"/>
    </xf>
    <xf numFmtId="164" fontId="0" fillId="6" borderId="0" xfId="0" applyNumberFormat="1" applyFill="1" applyAlignment="1">
      <alignment horizontal="center"/>
    </xf>
    <xf numFmtId="166" fontId="3" fillId="0" borderId="0" xfId="1" applyNumberFormat="1" applyFont="1" applyFill="1" applyBorder="1" applyAlignment="1">
      <alignment horizontal="right"/>
    </xf>
    <xf numFmtId="0" fontId="8" fillId="0" borderId="0" xfId="0" applyFont="1"/>
    <xf numFmtId="0" fontId="3" fillId="0" borderId="0" xfId="0" applyFont="1"/>
    <xf numFmtId="0" fontId="3" fillId="0" borderId="0" xfId="0" applyFont="1" applyAlignment="1">
      <alignment horizontal="left"/>
    </xf>
    <xf numFmtId="170" fontId="3" fillId="0" borderId="0" xfId="0" applyNumberFormat="1" applyFont="1"/>
    <xf numFmtId="4" fontId="3" fillId="0" borderId="0" xfId="0" applyNumberFormat="1" applyFont="1" applyFill="1" applyAlignment="1">
      <alignment horizontal="center"/>
    </xf>
    <xf numFmtId="3" fontId="3" fillId="0" borderId="0" xfId="0" applyNumberFormat="1" applyFont="1" applyAlignment="1">
      <alignment horizontal="center"/>
    </xf>
    <xf numFmtId="43" fontId="3" fillId="0" borderId="0" xfId="1" applyFont="1" applyFill="1" applyBorder="1" applyAlignment="1">
      <alignment horizontal="left"/>
    </xf>
    <xf numFmtId="43" fontId="3" fillId="0" borderId="0" xfId="0" applyNumberFormat="1" applyFont="1" applyFill="1" applyBorder="1" applyAlignment="1">
      <alignment horizontal="left"/>
    </xf>
    <xf numFmtId="172" fontId="3" fillId="0" borderId="0" xfId="0" applyNumberFormat="1" applyFont="1" applyFill="1" applyBorder="1" applyAlignment="1">
      <alignment horizontal="left"/>
    </xf>
    <xf numFmtId="173" fontId="3" fillId="0" borderId="0" xfId="0" applyNumberFormat="1" applyFont="1" applyFill="1" applyBorder="1" applyAlignment="1">
      <alignment horizontal="left"/>
    </xf>
    <xf numFmtId="169" fontId="3" fillId="0" borderId="0" xfId="0" applyNumberFormat="1" applyFont="1" applyFill="1" applyBorder="1" applyAlignment="1">
      <alignment horizontal="left"/>
    </xf>
    <xf numFmtId="166" fontId="3" fillId="0" borderId="0" xfId="0" applyNumberFormat="1" applyFont="1" applyFill="1" applyBorder="1" applyAlignment="1">
      <alignment horizontal="center"/>
    </xf>
    <xf numFmtId="0" fontId="26" fillId="0" borderId="0" xfId="0" applyFont="1" applyFill="1" applyBorder="1" applyAlignment="1">
      <alignment horizontal="center"/>
    </xf>
    <xf numFmtId="176" fontId="3" fillId="0" borderId="0" xfId="0" applyNumberFormat="1" applyFont="1" applyFill="1" applyBorder="1" applyAlignment="1">
      <alignment horizontal="center"/>
    </xf>
    <xf numFmtId="166" fontId="3" fillId="0" borderId="0" xfId="1" applyNumberFormat="1" applyFont="1" applyFill="1" applyBorder="1" applyAlignment="1">
      <alignment horizontal="center"/>
    </xf>
    <xf numFmtId="175" fontId="3" fillId="0" borderId="0" xfId="0" applyNumberFormat="1" applyFont="1" applyFill="1" applyBorder="1" applyAlignment="1">
      <alignment horizontal="center"/>
    </xf>
    <xf numFmtId="1" fontId="8" fillId="0" borderId="0" xfId="0" applyNumberFormat="1" applyFont="1" applyFill="1" applyBorder="1" applyAlignment="1">
      <alignment horizontal="center"/>
    </xf>
    <xf numFmtId="4" fontId="3" fillId="0" borderId="0" xfId="0" applyNumberFormat="1" applyFont="1" applyFill="1" applyBorder="1" applyAlignment="1">
      <alignment horizontal="center"/>
    </xf>
    <xf numFmtId="3" fontId="3" fillId="0" borderId="0" xfId="0" applyNumberFormat="1" applyFont="1" applyFill="1" applyBorder="1" applyAlignment="1">
      <alignment horizontal="center"/>
    </xf>
    <xf numFmtId="2" fontId="26" fillId="0" borderId="0" xfId="0" applyNumberFormat="1" applyFont="1" applyFill="1" applyBorder="1" applyAlignment="1">
      <alignment horizontal="center"/>
    </xf>
    <xf numFmtId="165" fontId="26" fillId="0" borderId="0" xfId="0" applyNumberFormat="1" applyFont="1" applyFill="1" applyBorder="1" applyAlignment="1">
      <alignment horizontal="center"/>
    </xf>
    <xf numFmtId="165" fontId="32" fillId="0" borderId="0" xfId="0" applyNumberFormat="1" applyFont="1" applyFill="1" applyBorder="1" applyAlignment="1">
      <alignment horizontal="center"/>
    </xf>
    <xf numFmtId="165" fontId="16" fillId="0" borderId="0" xfId="0" applyNumberFormat="1" applyFont="1" applyFill="1" applyAlignment="1">
      <alignment horizontal="center"/>
    </xf>
    <xf numFmtId="2" fontId="3" fillId="0" borderId="0" xfId="0" quotePrefix="1" applyNumberFormat="1" applyFont="1" applyFill="1" applyAlignment="1">
      <alignment horizontal="center"/>
    </xf>
    <xf numFmtId="2" fontId="0" fillId="0" borderId="0" xfId="0" applyNumberFormat="1" applyAlignment="1">
      <alignment horizontal="center" vertical="center"/>
    </xf>
    <xf numFmtId="2" fontId="26" fillId="0" borderId="0" xfId="0" applyNumberFormat="1" applyFont="1" applyFill="1" applyBorder="1" applyAlignment="1">
      <alignment horizontal="left"/>
    </xf>
    <xf numFmtId="2" fontId="26" fillId="0" borderId="0" xfId="0" applyNumberFormat="1" applyFont="1" applyAlignment="1">
      <alignment horizontal="left"/>
    </xf>
    <xf numFmtId="1" fontId="28" fillId="0" borderId="0" xfId="0" applyNumberFormat="1" applyFont="1" applyFill="1" applyAlignment="1">
      <alignment horizontal="center"/>
    </xf>
    <xf numFmtId="165" fontId="8" fillId="0" borderId="0" xfId="0" applyNumberFormat="1" applyFont="1" applyAlignment="1">
      <alignment horizontal="center"/>
    </xf>
    <xf numFmtId="37" fontId="8" fillId="0" borderId="0" xfId="1" applyNumberFormat="1" applyFont="1" applyAlignment="1">
      <alignment horizontal="center"/>
    </xf>
    <xf numFmtId="1" fontId="3" fillId="0" borderId="0" xfId="0" applyNumberFormat="1" applyFont="1" applyFill="1" applyAlignment="1">
      <alignment horizontal="center"/>
    </xf>
    <xf numFmtId="170" fontId="3" fillId="0" borderId="0" xfId="1" applyNumberFormat="1" applyFont="1" applyBorder="1" applyAlignment="1">
      <alignment horizontal="center"/>
    </xf>
    <xf numFmtId="43" fontId="3" fillId="0" borderId="0" xfId="1" applyFont="1" applyBorder="1" applyAlignment="1">
      <alignment horizontal="center"/>
    </xf>
    <xf numFmtId="0" fontId="3" fillId="0" borderId="0" xfId="0" applyFont="1" applyBorder="1" applyAlignment="1">
      <alignment horizontal="center"/>
    </xf>
    <xf numFmtId="0" fontId="8" fillId="0" borderId="0" xfId="0" applyFont="1" applyAlignment="1">
      <alignment horizontal="center"/>
    </xf>
    <xf numFmtId="0" fontId="8" fillId="0" borderId="1" xfId="0" applyFont="1" applyBorder="1" applyAlignment="1">
      <alignment horizontal="center"/>
    </xf>
    <xf numFmtId="0" fontId="8" fillId="0" borderId="0" xfId="0" applyFont="1" applyFill="1" applyBorder="1" applyAlignment="1">
      <alignment horizontal="center"/>
    </xf>
    <xf numFmtId="166" fontId="0" fillId="6" borderId="0" xfId="0" applyNumberFormat="1" applyFill="1" applyAlignment="1">
      <alignment horizontal="center"/>
    </xf>
    <xf numFmtId="2" fontId="0" fillId="6" borderId="0" xfId="0" applyNumberFormat="1" applyFill="1" applyAlignment="1">
      <alignment horizontal="center"/>
    </xf>
    <xf numFmtId="38" fontId="3" fillId="0" borderId="0" xfId="1" applyNumberFormat="1" applyFont="1" applyBorder="1" applyAlignment="1">
      <alignment horizontal="right"/>
    </xf>
    <xf numFmtId="174" fontId="3" fillId="0" borderId="0" xfId="1" applyNumberFormat="1" applyFont="1"/>
    <xf numFmtId="171" fontId="3" fillId="0" borderId="0" xfId="1" applyNumberFormat="1" applyFont="1"/>
    <xf numFmtId="38" fontId="3" fillId="0" borderId="0" xfId="1" applyNumberFormat="1" applyFont="1" applyAlignment="1">
      <alignment horizontal="right"/>
    </xf>
    <xf numFmtId="38" fontId="3" fillId="0" borderId="0" xfId="1" applyNumberFormat="1" applyFont="1" applyAlignment="1">
      <alignment horizontal="center"/>
    </xf>
    <xf numFmtId="2" fontId="3" fillId="0" borderId="0" xfId="0" applyNumberFormat="1" applyFont="1" applyAlignment="1"/>
    <xf numFmtId="40" fontId="3" fillId="0" borderId="0" xfId="1" applyNumberFormat="1" applyFont="1" applyAlignment="1">
      <alignment horizontal="right"/>
    </xf>
    <xf numFmtId="40" fontId="3" fillId="0" borderId="0" xfId="1" applyNumberFormat="1" applyFont="1" applyAlignment="1">
      <alignment horizontal="center"/>
    </xf>
    <xf numFmtId="43" fontId="3" fillId="0" borderId="0" xfId="1" applyFont="1" applyAlignment="1">
      <alignment horizontal="center"/>
    </xf>
    <xf numFmtId="43" fontId="3" fillId="0" borderId="1" xfId="1" applyFont="1" applyBorder="1" applyAlignment="1">
      <alignment horizontal="center"/>
    </xf>
    <xf numFmtId="172" fontId="3" fillId="0" borderId="0" xfId="1" applyNumberFormat="1" applyFont="1" applyAlignment="1">
      <alignment horizontal="right"/>
    </xf>
    <xf numFmtId="174" fontId="3" fillId="0" borderId="0" xfId="1" applyNumberFormat="1" applyFont="1" applyAlignment="1">
      <alignment horizontal="right"/>
    </xf>
    <xf numFmtId="169" fontId="3" fillId="0" borderId="0" xfId="1" applyNumberFormat="1" applyFont="1" applyBorder="1" applyAlignment="1">
      <alignment horizontal="center"/>
    </xf>
    <xf numFmtId="172" fontId="3" fillId="0" borderId="0" xfId="1" applyNumberFormat="1" applyFont="1" applyBorder="1" applyAlignment="1">
      <alignment horizontal="center"/>
    </xf>
    <xf numFmtId="180" fontId="3" fillId="0" borderId="0" xfId="1" applyNumberFormat="1" applyFont="1" applyAlignment="1">
      <alignment horizontal="right"/>
    </xf>
    <xf numFmtId="173" fontId="3" fillId="0" borderId="0" xfId="1" applyNumberFormat="1" applyFont="1" applyBorder="1" applyAlignment="1">
      <alignment horizontal="center"/>
    </xf>
    <xf numFmtId="172" fontId="3" fillId="0" borderId="0" xfId="0" applyNumberFormat="1" applyFont="1"/>
    <xf numFmtId="170" fontId="3" fillId="0" borderId="0" xfId="1" applyNumberFormat="1" applyFont="1" applyAlignment="1">
      <alignment horizontal="center"/>
    </xf>
    <xf numFmtId="172" fontId="3" fillId="0" borderId="0" xfId="1" applyNumberFormat="1" applyFont="1" applyAlignment="1">
      <alignment horizontal="center"/>
    </xf>
    <xf numFmtId="43" fontId="3" fillId="0" borderId="0" xfId="1" applyNumberFormat="1" applyFont="1" applyBorder="1" applyAlignment="1">
      <alignment horizontal="center"/>
    </xf>
    <xf numFmtId="0" fontId="4" fillId="0" borderId="0" xfId="0" applyFont="1" applyFill="1" applyBorder="1" applyAlignment="1">
      <alignment horizontal="center"/>
    </xf>
    <xf numFmtId="2" fontId="28" fillId="0" borderId="0" xfId="0" applyNumberFormat="1" applyFont="1" applyFill="1" applyAlignment="1">
      <alignment horizontal="center"/>
    </xf>
    <xf numFmtId="0" fontId="28" fillId="0" borderId="0" xfId="0" applyFont="1" applyAlignment="1">
      <alignment horizontal="center"/>
    </xf>
    <xf numFmtId="170" fontId="3" fillId="0" borderId="0" xfId="1" applyNumberFormat="1" applyFont="1" applyFill="1" applyBorder="1" applyAlignment="1">
      <alignment horizontal="center"/>
    </xf>
    <xf numFmtId="169" fontId="3" fillId="0" borderId="0" xfId="1" applyNumberFormat="1" applyFont="1" applyFill="1" applyBorder="1" applyAlignment="1">
      <alignment horizontal="center"/>
    </xf>
    <xf numFmtId="181" fontId="0" fillId="0" borderId="0" xfId="0" applyNumberFormat="1"/>
    <xf numFmtId="165" fontId="28" fillId="0" borderId="0" xfId="0" applyNumberFormat="1" applyFont="1" applyAlignment="1">
      <alignment horizontal="center"/>
    </xf>
    <xf numFmtId="166" fontId="3" fillId="0" borderId="0" xfId="0" applyNumberFormat="1" applyFont="1" applyFill="1" applyAlignment="1">
      <alignment horizontal="center"/>
    </xf>
    <xf numFmtId="0" fontId="13" fillId="0" borderId="0" xfId="0" applyFont="1" applyAlignment="1"/>
    <xf numFmtId="0" fontId="8" fillId="0" borderId="6" xfId="0" applyFont="1" applyBorder="1"/>
    <xf numFmtId="0" fontId="3" fillId="0" borderId="0" xfId="0" applyFont="1" applyAlignment="1">
      <alignment horizontal="center"/>
    </xf>
    <xf numFmtId="2" fontId="3" fillId="0" borderId="0" xfId="0" applyNumberFormat="1" applyFont="1" applyFill="1" applyAlignment="1">
      <alignment horizontal="center"/>
    </xf>
    <xf numFmtId="0" fontId="26" fillId="0" borderId="0" xfId="0" applyFont="1" applyFill="1" applyAlignment="1">
      <alignment horizontal="center"/>
    </xf>
    <xf numFmtId="1" fontId="8" fillId="0" borderId="0" xfId="0" applyNumberFormat="1" applyFont="1" applyFill="1" applyAlignment="1">
      <alignment horizontal="center"/>
    </xf>
    <xf numFmtId="0" fontId="24" fillId="0" borderId="0" xfId="0" applyFont="1" applyFill="1" applyAlignment="1">
      <alignment horizontal="center"/>
    </xf>
    <xf numFmtId="170" fontId="3" fillId="2" borderId="0" xfId="1" applyNumberFormat="1" applyFont="1" applyFill="1" applyBorder="1" applyAlignment="1">
      <alignment horizontal="center"/>
    </xf>
    <xf numFmtId="169" fontId="3" fillId="2" borderId="0" xfId="1" applyNumberFormat="1" applyFont="1" applyFill="1" applyBorder="1" applyAlignment="1">
      <alignment horizontal="center"/>
    </xf>
    <xf numFmtId="43" fontId="3" fillId="0" borderId="0" xfId="0" applyNumberFormat="1" applyFont="1"/>
    <xf numFmtId="170" fontId="3" fillId="0" borderId="0" xfId="1" applyNumberFormat="1" applyFont="1" applyBorder="1" applyAlignment="1">
      <alignment horizontal="left"/>
    </xf>
    <xf numFmtId="0" fontId="3" fillId="0" borderId="0" xfId="1" applyNumberFormat="1" applyFont="1" applyBorder="1" applyAlignment="1">
      <alignment horizontal="center"/>
    </xf>
    <xf numFmtId="38" fontId="3" fillId="0" borderId="0" xfId="1" applyNumberFormat="1" applyFont="1"/>
    <xf numFmtId="38" fontId="3" fillId="0" borderId="0" xfId="1" applyNumberFormat="1" applyFont="1" applyBorder="1" applyAlignment="1">
      <alignment horizontal="center"/>
    </xf>
    <xf numFmtId="170" fontId="3" fillId="0" borderId="0" xfId="0" applyNumberFormat="1" applyFont="1" applyBorder="1"/>
    <xf numFmtId="170" fontId="3" fillId="0" borderId="1" xfId="0" applyNumberFormat="1" applyFont="1" applyBorder="1"/>
    <xf numFmtId="2" fontId="8" fillId="0" borderId="0" xfId="0" applyNumberFormat="1" applyFont="1" applyFill="1" applyAlignment="1">
      <alignment horizontal="center"/>
    </xf>
    <xf numFmtId="2" fontId="26" fillId="0" borderId="0" xfId="0" applyNumberFormat="1" applyFont="1" applyAlignment="1">
      <alignment horizontal="center"/>
    </xf>
    <xf numFmtId="173" fontId="0" fillId="0" borderId="0" xfId="1" applyNumberFormat="1" applyFont="1" applyAlignment="1">
      <alignment horizontal="right"/>
    </xf>
    <xf numFmtId="172" fontId="0" fillId="0" borderId="0" xfId="1" applyNumberFormat="1" applyFont="1" applyAlignment="1">
      <alignment horizontal="right"/>
    </xf>
    <xf numFmtId="43" fontId="0" fillId="0" borderId="0" xfId="1" applyNumberFormat="1" applyFont="1" applyAlignment="1">
      <alignment horizontal="right"/>
    </xf>
    <xf numFmtId="39" fontId="0" fillId="0" borderId="0" xfId="1" applyNumberFormat="1" applyFont="1" applyAlignment="1">
      <alignment horizontal="right"/>
    </xf>
    <xf numFmtId="39" fontId="0" fillId="0" borderId="0" xfId="0" applyNumberFormat="1"/>
    <xf numFmtId="173" fontId="0" fillId="0" borderId="0" xfId="1" applyNumberFormat="1" applyFont="1" applyAlignment="1">
      <alignment horizontal="center"/>
    </xf>
    <xf numFmtId="0" fontId="4" fillId="0" borderId="0" xfId="0" applyFont="1" applyAlignment="1">
      <alignment horizontal="center"/>
    </xf>
    <xf numFmtId="165" fontId="8" fillId="0" borderId="0" xfId="0" applyNumberFormat="1" applyFont="1" applyFill="1" applyAlignment="1">
      <alignment horizontal="center"/>
    </xf>
    <xf numFmtId="37" fontId="8" fillId="0" borderId="0" xfId="1" applyNumberFormat="1" applyFont="1" applyFill="1" applyAlignment="1">
      <alignment horizontal="center"/>
    </xf>
    <xf numFmtId="0" fontId="8" fillId="0" borderId="0" xfId="0" applyFont="1" applyFill="1" applyBorder="1" applyAlignment="1"/>
    <xf numFmtId="0" fontId="0" fillId="0" borderId="0" xfId="0" applyAlignment="1">
      <alignment wrapText="1"/>
    </xf>
    <xf numFmtId="0" fontId="28" fillId="0" borderId="0" xfId="0" applyFont="1" applyFill="1"/>
    <xf numFmtId="167" fontId="26" fillId="0" borderId="0" xfId="0" applyNumberFormat="1" applyFont="1" applyFill="1" applyBorder="1" applyAlignment="1">
      <alignment horizontal="left"/>
    </xf>
    <xf numFmtId="3" fontId="8" fillId="0" borderId="0" xfId="0" applyNumberFormat="1" applyFont="1" applyAlignment="1">
      <alignment horizontal="center"/>
    </xf>
    <xf numFmtId="0" fontId="34" fillId="0" borderId="0" xfId="0" applyFont="1" applyFill="1" applyBorder="1" applyAlignment="1"/>
    <xf numFmtId="3" fontId="8" fillId="0" borderId="0" xfId="0" applyNumberFormat="1" applyFont="1" applyFill="1" applyAlignment="1">
      <alignment horizontal="center"/>
    </xf>
    <xf numFmtId="0" fontId="23" fillId="0" borderId="0" xfId="0" applyFont="1" applyFill="1" applyAlignment="1">
      <alignment horizontal="center"/>
    </xf>
    <xf numFmtId="0" fontId="21" fillId="0" borderId="0" xfId="0" applyFont="1" applyFill="1" applyAlignment="1">
      <alignment horizontal="center"/>
    </xf>
    <xf numFmtId="0" fontId="22" fillId="0" borderId="0" xfId="0" applyFont="1" applyFill="1" applyAlignment="1">
      <alignment horizontal="center"/>
    </xf>
    <xf numFmtId="167" fontId="3" fillId="0" borderId="0" xfId="0" applyNumberFormat="1" applyFont="1" applyFill="1" applyBorder="1" applyAlignment="1">
      <alignment horizontal="center"/>
    </xf>
    <xf numFmtId="37" fontId="3" fillId="0" borderId="0" xfId="1" applyNumberFormat="1" applyFont="1" applyAlignment="1">
      <alignment horizontal="center"/>
    </xf>
    <xf numFmtId="0" fontId="8" fillId="0" borderId="0" xfId="0" applyFont="1" applyFill="1" applyBorder="1" applyAlignment="1">
      <alignment horizontal="center"/>
    </xf>
    <xf numFmtId="166" fontId="8" fillId="0" borderId="0" xfId="0" applyNumberFormat="1" applyFont="1" applyFill="1" applyBorder="1" applyAlignment="1">
      <alignment horizontal="center"/>
    </xf>
    <xf numFmtId="0" fontId="3" fillId="0" borderId="0" xfId="0" applyFont="1" applyFill="1" applyBorder="1" applyAlignment="1">
      <alignment horizontal="right"/>
    </xf>
    <xf numFmtId="170" fontId="3" fillId="0" borderId="0" xfId="1" applyNumberFormat="1" applyFont="1" applyFill="1" applyBorder="1"/>
    <xf numFmtId="164" fontId="3" fillId="0" borderId="0" xfId="0" applyNumberFormat="1" applyFont="1" applyFill="1" applyBorder="1" applyAlignment="1">
      <alignment horizontal="center"/>
    </xf>
    <xf numFmtId="0" fontId="35" fillId="0" borderId="0" xfId="0" applyFont="1"/>
    <xf numFmtId="165" fontId="3" fillId="0" borderId="0" xfId="0" applyNumberFormat="1" applyFont="1" applyFill="1" applyBorder="1"/>
    <xf numFmtId="0" fontId="10" fillId="0" borderId="0" xfId="0" applyFont="1"/>
    <xf numFmtId="2" fontId="10" fillId="0" borderId="0" xfId="0" applyNumberFormat="1" applyFont="1" applyAlignment="1">
      <alignment horizontal="center"/>
    </xf>
    <xf numFmtId="165" fontId="36" fillId="0" borderId="0" xfId="0" applyNumberFormat="1" applyFont="1" applyAlignment="1">
      <alignment horizontal="center"/>
    </xf>
    <xf numFmtId="164" fontId="3" fillId="0" borderId="0" xfId="0" applyNumberFormat="1" applyFont="1" applyAlignment="1">
      <alignment horizontal="center"/>
    </xf>
    <xf numFmtId="2" fontId="3" fillId="0" borderId="0" xfId="0" applyNumberFormat="1" applyFont="1" applyAlignment="1">
      <alignment horizontal="center" vertical="center" wrapText="1"/>
    </xf>
    <xf numFmtId="0" fontId="15" fillId="0" borderId="0" xfId="0" applyFont="1" applyFill="1" applyBorder="1" applyAlignment="1">
      <alignment horizontal="right"/>
    </xf>
    <xf numFmtId="0" fontId="3" fillId="0" borderId="0" xfId="0" applyFont="1" applyFill="1" applyAlignment="1">
      <alignment horizontal="center"/>
    </xf>
    <xf numFmtId="0" fontId="3" fillId="0" borderId="0" xfId="0" applyFont="1" applyBorder="1" applyAlignment="1">
      <alignment horizontal="center"/>
    </xf>
    <xf numFmtId="2" fontId="28" fillId="0" borderId="0" xfId="0" applyNumberFormat="1" applyFont="1" applyFill="1" applyBorder="1" applyAlignment="1">
      <alignment horizontal="center"/>
    </xf>
    <xf numFmtId="165" fontId="13" fillId="0" borderId="0" xfId="0" applyNumberFormat="1" applyFont="1" applyFill="1" applyBorder="1" applyAlignment="1">
      <alignment horizontal="center"/>
    </xf>
    <xf numFmtId="166" fontId="4" fillId="0" borderId="0" xfId="1" applyNumberFormat="1" applyFont="1" applyFill="1" applyAlignment="1">
      <alignment horizontal="center"/>
    </xf>
    <xf numFmtId="0" fontId="26" fillId="0" borderId="0" xfId="0" applyFont="1" applyFill="1"/>
    <xf numFmtId="165" fontId="37" fillId="0" borderId="0" xfId="0" applyNumberFormat="1" applyFont="1" applyAlignment="1">
      <alignment horizontal="left"/>
    </xf>
    <xf numFmtId="170" fontId="3" fillId="6" borderId="0" xfId="1" applyNumberFormat="1" applyFont="1" applyFill="1" applyBorder="1" applyAlignment="1">
      <alignment horizontal="center"/>
    </xf>
    <xf numFmtId="169" fontId="3" fillId="2" borderId="0" xfId="1" applyNumberFormat="1" applyFont="1" applyFill="1" applyAlignment="1">
      <alignment horizontal="left"/>
    </xf>
    <xf numFmtId="2" fontId="3" fillId="2" borderId="0" xfId="1" applyNumberFormat="1" applyFont="1" applyFill="1" applyBorder="1" applyAlignment="1">
      <alignment horizontal="center"/>
    </xf>
    <xf numFmtId="170" fontId="3" fillId="2" borderId="0" xfId="1" applyNumberFormat="1" applyFont="1" applyFill="1" applyAlignment="1">
      <alignment horizontal="left"/>
    </xf>
    <xf numFmtId="0" fontId="3" fillId="6" borderId="0" xfId="0" applyFont="1" applyFill="1"/>
    <xf numFmtId="43" fontId="3" fillId="0" borderId="0" xfId="1" applyNumberFormat="1" applyFont="1" applyAlignment="1">
      <alignment horizontal="center"/>
    </xf>
    <xf numFmtId="174" fontId="0" fillId="0" borderId="0" xfId="0" applyNumberFormat="1"/>
    <xf numFmtId="38" fontId="3" fillId="6" borderId="0" xfId="1" applyNumberFormat="1" applyFont="1" applyFill="1" applyBorder="1" applyAlignment="1">
      <alignment horizontal="right"/>
    </xf>
    <xf numFmtId="0" fontId="26" fillId="0" borderId="0" xfId="0" applyFont="1" applyBorder="1" applyAlignment="1">
      <alignment horizontal="center"/>
    </xf>
    <xf numFmtId="0" fontId="8" fillId="0" borderId="0" xfId="0" applyFont="1" applyAlignment="1">
      <alignment horizontal="center"/>
    </xf>
    <xf numFmtId="170" fontId="38" fillId="6" borderId="0" xfId="1" applyNumberFormat="1" applyFont="1" applyFill="1"/>
    <xf numFmtId="38" fontId="3" fillId="6" borderId="0" xfId="1" applyNumberFormat="1" applyFont="1" applyFill="1" applyAlignment="1">
      <alignment horizontal="right"/>
    </xf>
    <xf numFmtId="170" fontId="0" fillId="0" borderId="0" xfId="0" applyNumberFormat="1" applyFill="1"/>
    <xf numFmtId="43" fontId="0" fillId="0" borderId="0" xfId="0" applyNumberFormat="1" applyFill="1"/>
    <xf numFmtId="2" fontId="28" fillId="0" borderId="0" xfId="0" applyNumberFormat="1" applyFont="1"/>
    <xf numFmtId="40" fontId="3" fillId="0" borderId="0" xfId="1" applyNumberFormat="1" applyFont="1" applyBorder="1" applyAlignment="1">
      <alignment horizontal="right"/>
    </xf>
    <xf numFmtId="40" fontId="3" fillId="0" borderId="0" xfId="1" applyNumberFormat="1" applyFont="1" applyBorder="1" applyAlignment="1">
      <alignment horizontal="center"/>
    </xf>
    <xf numFmtId="170" fontId="8" fillId="0" borderId="0" xfId="1" applyNumberFormat="1" applyFont="1" applyFill="1"/>
    <xf numFmtId="170" fontId="3" fillId="0" borderId="0" xfId="1" applyNumberFormat="1" applyFont="1"/>
    <xf numFmtId="182" fontId="3" fillId="0" borderId="0" xfId="2" applyNumberFormat="1" applyFont="1" applyFill="1" applyAlignment="1">
      <alignment horizontal="center"/>
    </xf>
    <xf numFmtId="2" fontId="26" fillId="0" borderId="0" xfId="0" applyNumberFormat="1" applyFont="1" applyFill="1" applyAlignment="1">
      <alignment horizontal="left" vertical="center"/>
    </xf>
    <xf numFmtId="2" fontId="3" fillId="0" borderId="0" xfId="0" applyNumberFormat="1" applyFont="1" applyFill="1" applyAlignment="1">
      <alignment horizontal="center" vertical="center" wrapText="1"/>
    </xf>
    <xf numFmtId="37" fontId="3" fillId="0" borderId="0" xfId="1" applyNumberFormat="1" applyFont="1" applyFill="1" applyAlignment="1">
      <alignment horizontal="center"/>
    </xf>
    <xf numFmtId="0" fontId="26" fillId="0" borderId="0" xfId="0" applyFont="1" applyFill="1" applyAlignment="1"/>
    <xf numFmtId="2" fontId="8" fillId="0" borderId="0" xfId="0" applyNumberFormat="1" applyFont="1" applyAlignment="1">
      <alignment horizontal="center"/>
    </xf>
    <xf numFmtId="0" fontId="26" fillId="0" borderId="0" xfId="0" applyFont="1" applyFill="1" applyBorder="1" applyAlignment="1"/>
    <xf numFmtId="0" fontId="3" fillId="0" borderId="0" xfId="0" applyFont="1" applyBorder="1" applyAlignment="1">
      <alignment horizontal="right"/>
    </xf>
    <xf numFmtId="170" fontId="8" fillId="0" borderId="0" xfId="1" applyNumberFormat="1" applyFont="1" applyFill="1" applyBorder="1"/>
    <xf numFmtId="165" fontId="28" fillId="0" borderId="0" xfId="0" applyNumberFormat="1" applyFont="1" applyFill="1" applyBorder="1" applyAlignment="1">
      <alignment horizontal="center"/>
    </xf>
    <xf numFmtId="1" fontId="26" fillId="0" borderId="0" xfId="0" applyNumberFormat="1" applyFont="1" applyFill="1" applyBorder="1" applyAlignment="1">
      <alignment horizontal="left"/>
    </xf>
    <xf numFmtId="176" fontId="3" fillId="0" borderId="0" xfId="0" applyNumberFormat="1" applyFont="1" applyBorder="1" applyAlignment="1">
      <alignment horizontal="center"/>
    </xf>
    <xf numFmtId="165" fontId="3" fillId="6" borderId="0" xfId="0" applyNumberFormat="1" applyFont="1" applyFill="1" applyAlignment="1">
      <alignment horizontal="center"/>
    </xf>
    <xf numFmtId="0" fontId="0" fillId="5" borderId="4" xfId="0" applyFill="1" applyBorder="1"/>
    <xf numFmtId="0" fontId="6" fillId="5" borderId="0" xfId="0" applyFont="1" applyFill="1" applyBorder="1" applyAlignment="1">
      <alignment horizontal="center"/>
    </xf>
    <xf numFmtId="2" fontId="3" fillId="5" borderId="0" xfId="0" applyNumberFormat="1" applyFont="1" applyFill="1" applyAlignment="1">
      <alignment horizontal="center"/>
    </xf>
    <xf numFmtId="0" fontId="0" fillId="0" borderId="0" xfId="0" applyAlignment="1">
      <alignment horizontal="right"/>
    </xf>
    <xf numFmtId="170" fontId="3" fillId="0" borderId="0" xfId="1" applyNumberFormat="1" applyFont="1" applyFill="1" applyBorder="1" applyAlignment="1">
      <alignment horizontal="right"/>
    </xf>
    <xf numFmtId="169" fontId="3" fillId="0" borderId="0" xfId="1" applyNumberFormat="1" applyFont="1" applyFill="1" applyBorder="1" applyAlignment="1">
      <alignment horizontal="right"/>
    </xf>
    <xf numFmtId="170" fontId="8" fillId="0" borderId="0" xfId="1" applyNumberFormat="1" applyFont="1" applyFill="1" applyBorder="1" applyAlignment="1">
      <alignment horizontal="right"/>
    </xf>
    <xf numFmtId="165" fontId="26" fillId="0" borderId="0" xfId="0" applyNumberFormat="1" applyFont="1" applyFill="1" applyBorder="1" applyAlignment="1">
      <alignment horizontal="left"/>
    </xf>
    <xf numFmtId="175" fontId="26" fillId="0" borderId="0" xfId="0" applyNumberFormat="1" applyFont="1" applyFill="1" applyBorder="1" applyAlignment="1">
      <alignment horizontal="left"/>
    </xf>
    <xf numFmtId="165" fontId="41" fillId="0" borderId="0" xfId="0" applyNumberFormat="1" applyFont="1" applyFill="1" applyAlignment="1">
      <alignment horizontal="center"/>
    </xf>
    <xf numFmtId="165" fontId="41" fillId="0" borderId="0" xfId="0" applyNumberFormat="1" applyFont="1" applyAlignment="1">
      <alignment horizontal="center"/>
    </xf>
    <xf numFmtId="1" fontId="41" fillId="0" borderId="0" xfId="0" applyNumberFormat="1" applyFont="1" applyAlignment="1">
      <alignment horizontal="center"/>
    </xf>
    <xf numFmtId="176" fontId="41" fillId="0" borderId="0" xfId="0" applyNumberFormat="1" applyFont="1" applyAlignment="1">
      <alignment horizontal="center"/>
    </xf>
    <xf numFmtId="3" fontId="41" fillId="0" borderId="0" xfId="0" applyNumberFormat="1" applyFont="1" applyAlignment="1">
      <alignment horizontal="center"/>
    </xf>
    <xf numFmtId="2" fontId="41" fillId="0" borderId="0" xfId="0" applyNumberFormat="1" applyFont="1" applyAlignment="1">
      <alignment horizontal="center"/>
    </xf>
    <xf numFmtId="3" fontId="41" fillId="0" borderId="0" xfId="0" applyNumberFormat="1" applyFont="1" applyFill="1" applyAlignment="1">
      <alignment horizontal="center"/>
    </xf>
    <xf numFmtId="2" fontId="41" fillId="0" borderId="0" xfId="0" applyNumberFormat="1" applyFont="1" applyFill="1" applyAlignment="1">
      <alignment horizontal="center"/>
    </xf>
    <xf numFmtId="0" fontId="41" fillId="0" borderId="0" xfId="0" applyFont="1"/>
    <xf numFmtId="1" fontId="41" fillId="0" borderId="0" xfId="0" applyNumberFormat="1" applyFont="1" applyFill="1" applyAlignment="1">
      <alignment horizontal="center"/>
    </xf>
    <xf numFmtId="1" fontId="8" fillId="0" borderId="0" xfId="0" applyNumberFormat="1" applyFont="1" applyBorder="1"/>
    <xf numFmtId="1" fontId="0" fillId="0" borderId="0" xfId="1" applyNumberFormat="1" applyFont="1" applyBorder="1" applyAlignment="1">
      <alignment horizontal="center"/>
    </xf>
    <xf numFmtId="165" fontId="24" fillId="0" borderId="0" xfId="0" applyNumberFormat="1" applyFont="1"/>
    <xf numFmtId="0" fontId="43" fillId="0" borderId="0" xfId="7" applyFont="1"/>
    <xf numFmtId="1" fontId="0" fillId="0" borderId="0" xfId="0" applyNumberFormat="1" applyAlignment="1">
      <alignment horizontal="right"/>
    </xf>
    <xf numFmtId="165" fontId="0" fillId="0" borderId="0" xfId="0" applyNumberFormat="1" applyAlignment="1">
      <alignment horizontal="right"/>
    </xf>
    <xf numFmtId="2" fontId="3" fillId="0" borderId="0" xfId="0" applyNumberFormat="1" applyFont="1" applyAlignment="1">
      <alignment horizontal="right"/>
    </xf>
    <xf numFmtId="0" fontId="24" fillId="8" borderId="0" xfId="0" applyFont="1" applyFill="1" applyAlignment="1">
      <alignment horizontal="right"/>
    </xf>
    <xf numFmtId="0" fontId="24" fillId="9" borderId="0" xfId="0" applyFont="1" applyFill="1" applyAlignment="1">
      <alignment horizontal="right"/>
    </xf>
    <xf numFmtId="0" fontId="4" fillId="10" borderId="0" xfId="0" applyFont="1" applyFill="1" applyAlignment="1">
      <alignment horizontal="left"/>
    </xf>
    <xf numFmtId="0" fontId="24" fillId="10" borderId="0" xfId="0" applyFont="1" applyFill="1" applyAlignment="1">
      <alignment horizontal="right"/>
    </xf>
    <xf numFmtId="0" fontId="8" fillId="9" borderId="10" xfId="0" applyFont="1" applyFill="1" applyBorder="1"/>
    <xf numFmtId="0" fontId="0" fillId="9" borderId="11" xfId="0" applyFill="1" applyBorder="1"/>
    <xf numFmtId="170" fontId="39" fillId="9" borderId="11" xfId="6" applyNumberFormat="1" applyFont="1" applyFill="1" applyBorder="1" applyAlignment="1">
      <alignment horizontal="right"/>
    </xf>
    <xf numFmtId="170" fontId="39" fillId="9" borderId="12" xfId="6" applyNumberFormat="1" applyFont="1" applyFill="1" applyBorder="1" applyAlignment="1">
      <alignment horizontal="right"/>
    </xf>
    <xf numFmtId="0" fontId="8" fillId="8" borderId="10" xfId="0" applyFont="1" applyFill="1" applyBorder="1"/>
    <xf numFmtId="0" fontId="0" fillId="8" borderId="11" xfId="0" applyFill="1" applyBorder="1"/>
    <xf numFmtId="165" fontId="0" fillId="8" borderId="11" xfId="0" applyNumberFormat="1" applyFill="1" applyBorder="1" applyAlignment="1">
      <alignment horizontal="right"/>
    </xf>
    <xf numFmtId="165" fontId="0" fillId="8" borderId="12" xfId="0" applyNumberFormat="1" applyFill="1" applyBorder="1" applyAlignment="1">
      <alignment horizontal="right"/>
    </xf>
    <xf numFmtId="2" fontId="0" fillId="8" borderId="11" xfId="0" applyNumberFormat="1" applyFill="1" applyBorder="1" applyAlignment="1">
      <alignment horizontal="right"/>
    </xf>
    <xf numFmtId="2" fontId="0" fillId="8" borderId="12" xfId="0" applyNumberFormat="1" applyFill="1" applyBorder="1" applyAlignment="1">
      <alignment horizontal="right"/>
    </xf>
    <xf numFmtId="169" fontId="39" fillId="9" borderId="11" xfId="6" applyNumberFormat="1" applyFont="1" applyFill="1" applyBorder="1" applyAlignment="1">
      <alignment horizontal="right"/>
    </xf>
    <xf numFmtId="169" fontId="39" fillId="9" borderId="12" xfId="6" applyNumberFormat="1" applyFont="1" applyFill="1" applyBorder="1" applyAlignment="1">
      <alignment horizontal="right"/>
    </xf>
    <xf numFmtId="43" fontId="39" fillId="9" borderId="11" xfId="6" applyNumberFormat="1" applyFont="1" applyFill="1" applyBorder="1" applyAlignment="1">
      <alignment horizontal="right"/>
    </xf>
    <xf numFmtId="43" fontId="39" fillId="9" borderId="12" xfId="6" applyNumberFormat="1" applyFont="1" applyFill="1" applyBorder="1" applyAlignment="1">
      <alignment horizontal="right"/>
    </xf>
    <xf numFmtId="0" fontId="4" fillId="8" borderId="0" xfId="0" applyFont="1" applyFill="1"/>
    <xf numFmtId="0" fontId="4" fillId="9" borderId="0" xfId="0" applyFont="1" applyFill="1"/>
    <xf numFmtId="0" fontId="8" fillId="10" borderId="10" xfId="0" applyFont="1" applyFill="1" applyBorder="1"/>
    <xf numFmtId="0" fontId="0" fillId="10" borderId="11" xfId="0" applyFill="1" applyBorder="1"/>
    <xf numFmtId="165" fontId="0" fillId="10" borderId="11" xfId="0" applyNumberFormat="1" applyFill="1" applyBorder="1" applyAlignment="1">
      <alignment horizontal="right"/>
    </xf>
    <xf numFmtId="165" fontId="0" fillId="10" borderId="12" xfId="0" applyNumberFormat="1" applyFill="1" applyBorder="1" applyAlignment="1">
      <alignment horizontal="right"/>
    </xf>
    <xf numFmtId="2" fontId="0" fillId="10" borderId="11" xfId="0" applyNumberFormat="1" applyFill="1" applyBorder="1" applyAlignment="1">
      <alignment horizontal="right"/>
    </xf>
    <xf numFmtId="2" fontId="0" fillId="10" borderId="12" xfId="0" applyNumberFormat="1" applyFill="1" applyBorder="1" applyAlignment="1">
      <alignment horizontal="right"/>
    </xf>
    <xf numFmtId="0" fontId="26" fillId="0" borderId="0" xfId="0" applyFont="1" applyFill="1" applyBorder="1" applyAlignment="1">
      <alignment horizontal="left"/>
    </xf>
    <xf numFmtId="2" fontId="26" fillId="0" borderId="0" xfId="0" applyNumberFormat="1" applyFont="1" applyFill="1" applyAlignment="1">
      <alignment horizontal="center"/>
    </xf>
    <xf numFmtId="1" fontId="16" fillId="0" borderId="0" xfId="0" applyNumberFormat="1" applyFont="1" applyFill="1" applyAlignment="1">
      <alignment horizontal="center"/>
    </xf>
    <xf numFmtId="170" fontId="8" fillId="12" borderId="0" xfId="1" applyNumberFormat="1" applyFont="1" applyFill="1" applyBorder="1" applyAlignment="1">
      <alignment horizontal="right"/>
    </xf>
    <xf numFmtId="0" fontId="3" fillId="12" borderId="0" xfId="0" applyFont="1" applyFill="1" applyBorder="1" applyAlignment="1">
      <alignment horizontal="center"/>
    </xf>
    <xf numFmtId="2" fontId="3" fillId="12" borderId="0" xfId="0" applyNumberFormat="1" applyFont="1" applyFill="1" applyBorder="1" applyAlignment="1">
      <alignment horizontal="center"/>
    </xf>
    <xf numFmtId="1" fontId="3" fillId="12" borderId="0" xfId="0" applyNumberFormat="1" applyFont="1" applyFill="1" applyBorder="1" applyAlignment="1">
      <alignment horizontal="center"/>
    </xf>
    <xf numFmtId="2" fontId="3" fillId="12" borderId="0" xfId="2" applyNumberFormat="1" applyFont="1" applyFill="1" applyBorder="1" applyAlignment="1">
      <alignment horizontal="center"/>
    </xf>
    <xf numFmtId="2" fontId="28" fillId="0" borderId="0" xfId="0" applyNumberFormat="1" applyFont="1" applyFill="1" applyBorder="1" applyAlignment="1">
      <alignment horizontal="left"/>
    </xf>
    <xf numFmtId="0" fontId="8" fillId="0" borderId="0" xfId="0" applyFont="1" applyFill="1" applyAlignment="1">
      <alignment horizontal="left"/>
    </xf>
    <xf numFmtId="0" fontId="28" fillId="0" borderId="0" xfId="0" applyFont="1" applyFill="1" applyAlignment="1">
      <alignment horizontal="center"/>
    </xf>
    <xf numFmtId="2" fontId="26" fillId="0" borderId="0" xfId="0" applyNumberFormat="1" applyFont="1" applyFill="1" applyAlignment="1">
      <alignment horizontal="left"/>
    </xf>
    <xf numFmtId="0" fontId="48" fillId="0" borderId="0" xfId="0" applyFont="1" applyAlignment="1">
      <alignment horizontal="center"/>
    </xf>
    <xf numFmtId="0" fontId="0" fillId="10" borderId="0" xfId="0" applyFill="1"/>
    <xf numFmtId="0" fontId="47" fillId="10" borderId="0" xfId="0" applyFont="1" applyFill="1"/>
    <xf numFmtId="0" fontId="0" fillId="10" borderId="0" xfId="0" applyFill="1" applyAlignment="1">
      <alignment horizontal="center"/>
    </xf>
    <xf numFmtId="0" fontId="47" fillId="8" borderId="0" xfId="0" applyFont="1" applyFill="1"/>
    <xf numFmtId="0" fontId="0" fillId="8" borderId="0" xfId="0" applyFill="1"/>
    <xf numFmtId="0" fontId="0" fillId="8" borderId="0" xfId="0" applyFill="1" applyAlignment="1">
      <alignment horizontal="center"/>
    </xf>
    <xf numFmtId="0" fontId="51" fillId="0" borderId="0" xfId="0" applyFont="1" applyAlignment="1">
      <alignment horizontal="center"/>
    </xf>
    <xf numFmtId="0" fontId="0" fillId="15" borderId="0" xfId="0" applyFill="1"/>
    <xf numFmtId="0" fontId="0" fillId="15" borderId="0" xfId="0" applyFill="1" applyAlignment="1">
      <alignment horizontal="center"/>
    </xf>
    <xf numFmtId="0" fontId="0" fillId="9" borderId="0" xfId="0" applyFill="1"/>
    <xf numFmtId="0" fontId="0" fillId="9" borderId="0" xfId="0" applyFill="1" applyBorder="1"/>
    <xf numFmtId="170" fontId="53" fillId="9" borderId="0" xfId="0" applyNumberFormat="1" applyFont="1" applyFill="1" applyBorder="1" applyAlignment="1">
      <alignment horizontal="center"/>
    </xf>
    <xf numFmtId="44" fontId="0" fillId="9" borderId="0" xfId="8" applyNumberFormat="1" applyFont="1" applyFill="1" applyBorder="1"/>
    <xf numFmtId="170" fontId="53" fillId="9" borderId="0" xfId="0" applyNumberFormat="1" applyFont="1" applyFill="1" applyBorder="1"/>
    <xf numFmtId="2" fontId="0" fillId="9" borderId="0" xfId="0" applyNumberFormat="1" applyFill="1" applyBorder="1" applyAlignment="1">
      <alignment horizontal="center"/>
    </xf>
    <xf numFmtId="44" fontId="0" fillId="9" borderId="0" xfId="8" applyFont="1" applyFill="1" applyBorder="1"/>
    <xf numFmtId="44" fontId="0" fillId="9" borderId="0" xfId="0" applyNumberFormat="1" applyFill="1" applyBorder="1"/>
    <xf numFmtId="0" fontId="7" fillId="9" borderId="0" xfId="0" applyFont="1" applyFill="1" applyBorder="1" applyAlignment="1">
      <alignment horizontal="center"/>
    </xf>
    <xf numFmtId="186" fontId="54" fillId="9" borderId="0" xfId="8" applyNumberFormat="1" applyFont="1" applyFill="1" applyBorder="1"/>
    <xf numFmtId="165" fontId="54" fillId="9" borderId="0" xfId="0" applyNumberFormat="1" applyFont="1" applyFill="1" applyBorder="1"/>
    <xf numFmtId="170" fontId="7" fillId="9" borderId="0" xfId="0" applyNumberFormat="1" applyFont="1" applyFill="1" applyBorder="1" applyAlignment="1">
      <alignment horizontal="center"/>
    </xf>
    <xf numFmtId="44" fontId="54" fillId="9" borderId="0" xfId="8" applyFont="1" applyFill="1" applyBorder="1"/>
    <xf numFmtId="0" fontId="7" fillId="9" borderId="0" xfId="0" applyFont="1" applyFill="1" applyBorder="1"/>
    <xf numFmtId="0" fontId="52" fillId="9" borderId="0" xfId="0" applyFont="1" applyFill="1" applyBorder="1" applyAlignment="1">
      <alignment horizontal="center"/>
    </xf>
    <xf numFmtId="0" fontId="52" fillId="9" borderId="0" xfId="0" applyFont="1" applyFill="1" applyBorder="1"/>
    <xf numFmtId="186" fontId="54" fillId="9" borderId="0" xfId="0" applyNumberFormat="1" applyFont="1" applyFill="1" applyBorder="1" applyAlignment="1">
      <alignment horizontal="center"/>
    </xf>
    <xf numFmtId="0" fontId="49" fillId="9" borderId="19" xfId="0" applyFont="1" applyFill="1" applyBorder="1"/>
    <xf numFmtId="165" fontId="54" fillId="9" borderId="20" xfId="0" applyNumberFormat="1" applyFont="1" applyFill="1" applyBorder="1"/>
    <xf numFmtId="0" fontId="0" fillId="9" borderId="19" xfId="0" applyFill="1" applyBorder="1"/>
    <xf numFmtId="44" fontId="0" fillId="9" borderId="20" xfId="0" applyNumberFormat="1" applyFill="1" applyBorder="1"/>
    <xf numFmtId="44" fontId="0" fillId="9" borderId="20" xfId="8" applyFont="1" applyFill="1" applyBorder="1"/>
    <xf numFmtId="0" fontId="50" fillId="9" borderId="19" xfId="0" applyFont="1" applyFill="1" applyBorder="1"/>
    <xf numFmtId="186" fontId="54" fillId="9" borderId="20" xfId="8" applyNumberFormat="1" applyFont="1" applyFill="1" applyBorder="1"/>
    <xf numFmtId="0" fontId="39" fillId="9" borderId="19" xfId="0" applyFont="1" applyFill="1" applyBorder="1"/>
    <xf numFmtId="0" fontId="0" fillId="9" borderId="22" xfId="0" applyFill="1" applyBorder="1" applyAlignment="1">
      <alignment horizontal="center"/>
    </xf>
    <xf numFmtId="0" fontId="0" fillId="9" borderId="22" xfId="0" applyFill="1" applyBorder="1"/>
    <xf numFmtId="186" fontId="54" fillId="9" borderId="22" xfId="0" applyNumberFormat="1" applyFont="1" applyFill="1" applyBorder="1"/>
    <xf numFmtId="186" fontId="54" fillId="9" borderId="23" xfId="0" applyNumberFormat="1" applyFont="1" applyFill="1" applyBorder="1"/>
    <xf numFmtId="0" fontId="3" fillId="9" borderId="16" xfId="0" applyFont="1" applyFill="1" applyBorder="1"/>
    <xf numFmtId="0" fontId="0" fillId="9" borderId="17" xfId="0" applyFill="1" applyBorder="1"/>
    <xf numFmtId="0" fontId="7" fillId="9" borderId="17" xfId="0" applyFont="1" applyFill="1" applyBorder="1" applyAlignment="1">
      <alignment horizontal="center" wrapText="1"/>
    </xf>
    <xf numFmtId="0" fontId="55" fillId="9" borderId="17" xfId="0" applyFont="1" applyFill="1" applyBorder="1" applyAlignment="1">
      <alignment horizontal="center" vertical="center" wrapText="1"/>
    </xf>
    <xf numFmtId="3" fontId="0" fillId="0" borderId="0" xfId="0" applyNumberFormat="1" applyAlignment="1">
      <alignment horizontal="right"/>
    </xf>
    <xf numFmtId="167" fontId="0" fillId="0" borderId="0" xfId="0" applyNumberFormat="1" applyAlignment="1">
      <alignment horizontal="right"/>
    </xf>
    <xf numFmtId="43" fontId="28" fillId="0" borderId="0" xfId="0" applyNumberFormat="1" applyFont="1"/>
    <xf numFmtId="0" fontId="4" fillId="9" borderId="21" xfId="0" applyFont="1" applyFill="1" applyBorder="1"/>
    <xf numFmtId="3" fontId="0" fillId="9" borderId="0" xfId="0" applyNumberFormat="1" applyFill="1" applyBorder="1" applyAlignment="1">
      <alignment horizontal="right"/>
    </xf>
    <xf numFmtId="0" fontId="0" fillId="8" borderId="16" xfId="0" applyFill="1" applyBorder="1"/>
    <xf numFmtId="0" fontId="3" fillId="8" borderId="17" xfId="0" applyFont="1" applyFill="1" applyBorder="1" applyAlignment="1">
      <alignment horizontal="right" wrapText="1"/>
    </xf>
    <xf numFmtId="0" fontId="0" fillId="8" borderId="17" xfId="0" applyFill="1" applyBorder="1"/>
    <xf numFmtId="0" fontId="0" fillId="8" borderId="18" xfId="0" applyFill="1" applyBorder="1"/>
    <xf numFmtId="0" fontId="0" fillId="8" borderId="19" xfId="0" applyFill="1" applyBorder="1"/>
    <xf numFmtId="0" fontId="0" fillId="8" borderId="0" xfId="0" applyFill="1" applyBorder="1" applyAlignment="1">
      <alignment horizontal="right"/>
    </xf>
    <xf numFmtId="165" fontId="0" fillId="8" borderId="0" xfId="0" applyNumberFormat="1" applyFill="1" applyBorder="1" applyAlignment="1">
      <alignment horizontal="right"/>
    </xf>
    <xf numFmtId="3" fontId="0" fillId="8" borderId="0" xfId="0" applyNumberFormat="1" applyFill="1" applyBorder="1" applyAlignment="1">
      <alignment horizontal="right"/>
    </xf>
    <xf numFmtId="167" fontId="0" fillId="8" borderId="0" xfId="0" applyNumberFormat="1" applyFill="1" applyBorder="1" applyAlignment="1">
      <alignment horizontal="right"/>
    </xf>
    <xf numFmtId="0" fontId="0" fillId="8" borderId="0" xfId="0" applyFill="1" applyBorder="1"/>
    <xf numFmtId="166" fontId="0" fillId="8" borderId="0" xfId="0" applyNumberFormat="1" applyFill="1" applyBorder="1"/>
    <xf numFmtId="0" fontId="0" fillId="8" borderId="20" xfId="0" applyFill="1" applyBorder="1"/>
    <xf numFmtId="0" fontId="3" fillId="8" borderId="19" xfId="0" applyFont="1" applyFill="1" applyBorder="1"/>
    <xf numFmtId="1" fontId="0" fillId="8" borderId="0" xfId="0" applyNumberFormat="1" applyFill="1" applyBorder="1"/>
    <xf numFmtId="166" fontId="0" fillId="8" borderId="20" xfId="0" applyNumberFormat="1" applyFill="1" applyBorder="1"/>
    <xf numFmtId="0" fontId="4" fillId="8" borderId="21" xfId="0" applyFont="1" applyFill="1" applyBorder="1"/>
    <xf numFmtId="0" fontId="0" fillId="8" borderId="22" xfId="0" applyFill="1" applyBorder="1" applyAlignment="1">
      <alignment horizontal="right"/>
    </xf>
    <xf numFmtId="3" fontId="0" fillId="8" borderId="22" xfId="0" applyNumberFormat="1" applyFill="1" applyBorder="1" applyAlignment="1">
      <alignment horizontal="right"/>
    </xf>
    <xf numFmtId="167" fontId="0" fillId="8" borderId="22" xfId="0" applyNumberFormat="1" applyFill="1" applyBorder="1" applyAlignment="1">
      <alignment horizontal="right"/>
    </xf>
    <xf numFmtId="0" fontId="0" fillId="8" borderId="22" xfId="0" applyFill="1" applyBorder="1"/>
    <xf numFmtId="2" fontId="56" fillId="8" borderId="22" xfId="0" applyNumberFormat="1" applyFont="1" applyFill="1" applyBorder="1"/>
    <xf numFmtId="2" fontId="56" fillId="8" borderId="23" xfId="0" applyNumberFormat="1" applyFont="1" applyFill="1" applyBorder="1"/>
    <xf numFmtId="0" fontId="0" fillId="10" borderId="16" xfId="0" applyFill="1" applyBorder="1"/>
    <xf numFmtId="0" fontId="0" fillId="10" borderId="17" xfId="0" applyFill="1" applyBorder="1" applyAlignment="1">
      <alignment horizontal="right"/>
    </xf>
    <xf numFmtId="3" fontId="0" fillId="10" borderId="17" xfId="0" applyNumberFormat="1" applyFill="1" applyBorder="1" applyAlignment="1">
      <alignment horizontal="right"/>
    </xf>
    <xf numFmtId="167" fontId="3" fillId="10" borderId="17" xfId="0" applyNumberFormat="1" applyFont="1" applyFill="1" applyBorder="1" applyAlignment="1">
      <alignment horizontal="right" wrapText="1"/>
    </xf>
    <xf numFmtId="0" fontId="0" fillId="10" borderId="17" xfId="0" applyFill="1" applyBorder="1" applyAlignment="1">
      <alignment horizontal="right" wrapText="1"/>
    </xf>
    <xf numFmtId="0" fontId="3" fillId="10" borderId="17" xfId="0" applyFont="1" applyFill="1" applyBorder="1" applyAlignment="1">
      <alignment horizontal="right" wrapText="1"/>
    </xf>
    <xf numFmtId="0" fontId="0" fillId="10" borderId="17" xfId="0" applyFill="1" applyBorder="1"/>
    <xf numFmtId="0" fontId="0" fillId="10" borderId="18" xfId="0" applyFill="1" applyBorder="1"/>
    <xf numFmtId="0" fontId="3" fillId="10" borderId="19" xfId="0" applyFont="1" applyFill="1" applyBorder="1"/>
    <xf numFmtId="0" fontId="0" fillId="10" borderId="0" xfId="0" applyFill="1" applyBorder="1" applyAlignment="1">
      <alignment horizontal="right"/>
    </xf>
    <xf numFmtId="3" fontId="0" fillId="10" borderId="0" xfId="0" applyNumberFormat="1" applyFill="1" applyBorder="1" applyAlignment="1">
      <alignment horizontal="right"/>
    </xf>
    <xf numFmtId="1" fontId="0" fillId="10" borderId="0" xfId="0" applyNumberFormat="1" applyFill="1" applyBorder="1" applyAlignment="1">
      <alignment horizontal="right"/>
    </xf>
    <xf numFmtId="0" fontId="0" fillId="10" borderId="0" xfId="0" applyFill="1" applyBorder="1"/>
    <xf numFmtId="0" fontId="0" fillId="10" borderId="20" xfId="0" applyFill="1" applyBorder="1"/>
    <xf numFmtId="0" fontId="0" fillId="10" borderId="19" xfId="0" applyFill="1" applyBorder="1"/>
    <xf numFmtId="3" fontId="0" fillId="10" borderId="0" xfId="0" applyNumberFormat="1" applyFill="1" applyBorder="1"/>
    <xf numFmtId="167" fontId="0" fillId="10" borderId="0" xfId="0" applyNumberFormat="1" applyFill="1" applyBorder="1" applyAlignment="1">
      <alignment horizontal="right"/>
    </xf>
    <xf numFmtId="3" fontId="0" fillId="10" borderId="20" xfId="0" applyNumberFormat="1" applyFill="1" applyBorder="1"/>
    <xf numFmtId="0" fontId="4" fillId="10" borderId="21" xfId="0" applyFont="1" applyFill="1" applyBorder="1"/>
    <xf numFmtId="0" fontId="0" fillId="10" borderId="22" xfId="0" applyFill="1" applyBorder="1" applyAlignment="1">
      <alignment horizontal="right"/>
    </xf>
    <xf numFmtId="3" fontId="0" fillId="10" borderId="22" xfId="0" applyNumberFormat="1" applyFill="1" applyBorder="1" applyAlignment="1">
      <alignment horizontal="right"/>
    </xf>
    <xf numFmtId="167" fontId="0" fillId="10" borderId="22" xfId="0" applyNumberFormat="1" applyFill="1" applyBorder="1" applyAlignment="1">
      <alignment horizontal="right"/>
    </xf>
    <xf numFmtId="0" fontId="0" fillId="10" borderId="22" xfId="0" applyFill="1" applyBorder="1"/>
    <xf numFmtId="2" fontId="45" fillId="10" borderId="22" xfId="0" applyNumberFormat="1" applyFont="1" applyFill="1" applyBorder="1"/>
    <xf numFmtId="2" fontId="45" fillId="10" borderId="23" xfId="0" applyNumberFormat="1" applyFont="1" applyFill="1" applyBorder="1"/>
    <xf numFmtId="165" fontId="28" fillId="0" borderId="0" xfId="0" applyNumberFormat="1" applyFont="1" applyFill="1" applyBorder="1" applyAlignment="1">
      <alignment horizontal="left"/>
    </xf>
    <xf numFmtId="0" fontId="57" fillId="0" borderId="0" xfId="0" applyFont="1" applyAlignment="1">
      <alignment horizontal="center" wrapText="1"/>
    </xf>
    <xf numFmtId="0" fontId="3" fillId="0" borderId="13" xfId="3" applyFont="1" applyBorder="1" applyAlignment="1">
      <alignment wrapText="1"/>
    </xf>
    <xf numFmtId="0" fontId="24" fillId="0" borderId="5" xfId="3" applyFont="1" applyBorder="1"/>
    <xf numFmtId="0" fontId="3" fillId="0" borderId="13" xfId="3" applyFont="1" applyBorder="1" applyAlignment="1"/>
    <xf numFmtId="0" fontId="3" fillId="0" borderId="14" xfId="3" applyFont="1" applyBorder="1" applyAlignment="1"/>
    <xf numFmtId="0" fontId="3" fillId="0" borderId="8" xfId="3" applyFont="1" applyBorder="1"/>
    <xf numFmtId="165" fontId="8" fillId="0" borderId="0" xfId="3" applyNumberFormat="1" applyFont="1" applyBorder="1" applyAlignment="1">
      <alignment horizontal="center"/>
    </xf>
    <xf numFmtId="0" fontId="8" fillId="0" borderId="25" xfId="3" applyFont="1" applyBorder="1"/>
    <xf numFmtId="0" fontId="8" fillId="0" borderId="26" xfId="3" applyFont="1" applyBorder="1"/>
    <xf numFmtId="0" fontId="3" fillId="0" borderId="26" xfId="3" applyBorder="1"/>
    <xf numFmtId="0" fontId="3" fillId="14" borderId="24" xfId="3" applyFill="1" applyBorder="1"/>
    <xf numFmtId="0" fontId="0" fillId="0" borderId="26" xfId="0" applyBorder="1"/>
    <xf numFmtId="0" fontId="3" fillId="0" borderId="26" xfId="0" applyFont="1" applyBorder="1" applyAlignment="1">
      <alignment vertical="center" wrapText="1"/>
    </xf>
    <xf numFmtId="0" fontId="3" fillId="0" borderId="26" xfId="0" applyFont="1" applyBorder="1"/>
    <xf numFmtId="0" fontId="0" fillId="0" borderId="27" xfId="0" applyBorder="1"/>
    <xf numFmtId="0" fontId="0" fillId="0" borderId="29" xfId="0" applyBorder="1"/>
    <xf numFmtId="0" fontId="0" fillId="0" borderId="30" xfId="0" applyBorder="1"/>
    <xf numFmtId="0" fontId="0" fillId="0" borderId="31" xfId="0" applyBorder="1"/>
    <xf numFmtId="0" fontId="3" fillId="0" borderId="30" xfId="0" applyFont="1" applyBorder="1"/>
    <xf numFmtId="0" fontId="0" fillId="0" borderId="32" xfId="0" applyBorder="1"/>
    <xf numFmtId="0" fontId="0" fillId="0" borderId="33" xfId="0" applyBorder="1"/>
    <xf numFmtId="0" fontId="0" fillId="0" borderId="34" xfId="0" applyBorder="1"/>
    <xf numFmtId="0" fontId="3" fillId="0" borderId="36" xfId="0" applyFont="1" applyBorder="1"/>
    <xf numFmtId="2" fontId="3" fillId="0" borderId="25" xfId="0" applyNumberFormat="1" applyFont="1" applyBorder="1"/>
    <xf numFmtId="0" fontId="3" fillId="0" borderId="25" xfId="0" applyFont="1" applyBorder="1"/>
    <xf numFmtId="0" fontId="24" fillId="0" borderId="37" xfId="0" applyFont="1" applyBorder="1"/>
    <xf numFmtId="0" fontId="24" fillId="0" borderId="28" xfId="0" applyFont="1" applyBorder="1"/>
    <xf numFmtId="0" fontId="24" fillId="0" borderId="38" xfId="0" applyFont="1" applyBorder="1"/>
    <xf numFmtId="0" fontId="4" fillId="0" borderId="35" xfId="0" applyFont="1" applyBorder="1" applyAlignment="1">
      <alignment vertical="center" wrapText="1"/>
    </xf>
    <xf numFmtId="0" fontId="4" fillId="0" borderId="27" xfId="0" applyFont="1" applyBorder="1" applyAlignment="1">
      <alignment vertical="center" wrapText="1"/>
    </xf>
    <xf numFmtId="0" fontId="3" fillId="0" borderId="26" xfId="0" applyFont="1" applyFill="1" applyBorder="1"/>
    <xf numFmtId="11" fontId="0" fillId="0" borderId="26" xfId="0" applyNumberFormat="1" applyFill="1" applyBorder="1"/>
    <xf numFmtId="0" fontId="0" fillId="0" borderId="26" xfId="0" applyFill="1" applyBorder="1"/>
    <xf numFmtId="0" fontId="3" fillId="0" borderId="25" xfId="0" applyFont="1" applyBorder="1" applyAlignment="1">
      <alignment horizontal="center"/>
    </xf>
    <xf numFmtId="1" fontId="3" fillId="0" borderId="25" xfId="0" applyNumberFormat="1" applyFont="1" applyBorder="1" applyAlignment="1">
      <alignment horizontal="center"/>
    </xf>
    <xf numFmtId="0" fontId="3" fillId="0" borderId="26" xfId="0" applyFont="1" applyBorder="1" applyAlignment="1">
      <alignment horizontal="center"/>
    </xf>
    <xf numFmtId="0" fontId="0" fillId="0" borderId="26" xfId="0" applyBorder="1" applyAlignment="1">
      <alignment horizontal="center"/>
    </xf>
    <xf numFmtId="0" fontId="8" fillId="0" borderId="38" xfId="0" applyFont="1" applyBorder="1"/>
    <xf numFmtId="0" fontId="3" fillId="0" borderId="41" xfId="0" applyFont="1" applyBorder="1" applyAlignment="1">
      <alignment vertical="center" wrapText="1"/>
    </xf>
    <xf numFmtId="0" fontId="3" fillId="0" borderId="28" xfId="0" applyFont="1" applyBorder="1" applyAlignment="1">
      <alignment vertical="center" wrapText="1"/>
    </xf>
    <xf numFmtId="0" fontId="0" fillId="0" borderId="28" xfId="0" applyBorder="1"/>
    <xf numFmtId="0" fontId="0" fillId="0" borderId="38" xfId="0" applyBorder="1"/>
    <xf numFmtId="0" fontId="3" fillId="0" borderId="25" xfId="0" applyFont="1" applyBorder="1" applyAlignment="1">
      <alignment vertical="center" wrapText="1"/>
    </xf>
    <xf numFmtId="0" fontId="0" fillId="0" borderId="25" xfId="0" applyBorder="1"/>
    <xf numFmtId="0" fontId="0" fillId="0" borderId="42" xfId="0" applyBorder="1"/>
    <xf numFmtId="0" fontId="4" fillId="0" borderId="43" xfId="0" applyFont="1" applyBorder="1" applyAlignment="1">
      <alignment vertical="center" wrapText="1"/>
    </xf>
    <xf numFmtId="0" fontId="4" fillId="0" borderId="44" xfId="0" applyFont="1" applyBorder="1" applyAlignment="1">
      <alignment vertical="center" wrapText="1"/>
    </xf>
    <xf numFmtId="0" fontId="4" fillId="0" borderId="44" xfId="0" applyFont="1" applyBorder="1"/>
    <xf numFmtId="0" fontId="4" fillId="0" borderId="33" xfId="0" applyFont="1" applyBorder="1"/>
    <xf numFmtId="0" fontId="4" fillId="0" borderId="34" xfId="0" applyFont="1" applyBorder="1"/>
    <xf numFmtId="0" fontId="8" fillId="0" borderId="47" xfId="0" applyFont="1" applyBorder="1"/>
    <xf numFmtId="0" fontId="8" fillId="0" borderId="24" xfId="0" applyFont="1" applyBorder="1"/>
    <xf numFmtId="1" fontId="26" fillId="0" borderId="0" xfId="0" applyNumberFormat="1" applyFont="1" applyFill="1" applyBorder="1" applyAlignment="1">
      <alignment horizontal="center"/>
    </xf>
    <xf numFmtId="1" fontId="26" fillId="5" borderId="0" xfId="0" applyNumberFormat="1" applyFont="1" applyFill="1" applyAlignment="1">
      <alignment horizontal="center"/>
    </xf>
    <xf numFmtId="3" fontId="26" fillId="0" borderId="0" xfId="0" applyNumberFormat="1" applyFont="1" applyFill="1" applyBorder="1" applyAlignment="1">
      <alignment horizontal="left"/>
    </xf>
    <xf numFmtId="168" fontId="26" fillId="0" borderId="0" xfId="0" applyNumberFormat="1" applyFont="1" applyFill="1" applyBorder="1" applyAlignment="1">
      <alignment horizontal="left"/>
    </xf>
    <xf numFmtId="176" fontId="26" fillId="0" borderId="0" xfId="0" applyNumberFormat="1" applyFont="1" applyFill="1" applyBorder="1" applyAlignment="1">
      <alignment horizontal="center"/>
    </xf>
    <xf numFmtId="165" fontId="8" fillId="0" borderId="2" xfId="3" applyNumberFormat="1" applyFont="1" applyBorder="1" applyAlignment="1">
      <alignment horizontal="center"/>
    </xf>
    <xf numFmtId="2" fontId="3" fillId="0" borderId="7" xfId="3" applyNumberFormat="1" applyFont="1" applyFill="1" applyBorder="1" applyAlignment="1">
      <alignment horizontal="center"/>
    </xf>
    <xf numFmtId="2" fontId="3" fillId="0" borderId="9" xfId="3" applyNumberFormat="1" applyFont="1" applyFill="1" applyBorder="1" applyAlignment="1">
      <alignment horizontal="center"/>
    </xf>
    <xf numFmtId="0" fontId="3" fillId="0" borderId="6" xfId="3" applyFont="1" applyBorder="1"/>
    <xf numFmtId="165" fontId="8" fillId="0" borderId="3" xfId="3" applyNumberFormat="1" applyFont="1" applyBorder="1" applyAlignment="1">
      <alignment horizontal="center"/>
    </xf>
    <xf numFmtId="2" fontId="3" fillId="0" borderId="4" xfId="3" applyNumberFormat="1" applyFont="1" applyFill="1" applyBorder="1" applyAlignment="1">
      <alignment horizontal="center"/>
    </xf>
    <xf numFmtId="0" fontId="8" fillId="0" borderId="8" xfId="3" applyFont="1" applyBorder="1"/>
    <xf numFmtId="0" fontId="8" fillId="0" borderId="45" xfId="0" applyFont="1" applyBorder="1" applyAlignment="1">
      <alignment horizontal="center" vertical="center"/>
    </xf>
    <xf numFmtId="0" fontId="24" fillId="0" borderId="2" xfId="0" applyFont="1" applyBorder="1" applyAlignment="1">
      <alignment horizontal="center" wrapText="1"/>
    </xf>
    <xf numFmtId="0" fontId="24" fillId="0" borderId="3" xfId="0" applyFont="1" applyBorder="1" applyAlignment="1">
      <alignment horizontal="center" wrapText="1"/>
    </xf>
    <xf numFmtId="0" fontId="59" fillId="5" borderId="26" xfId="0" applyFont="1" applyFill="1" applyBorder="1" applyAlignment="1">
      <alignment horizontal="center"/>
    </xf>
    <xf numFmtId="1" fontId="59" fillId="5" borderId="26" xfId="0" applyNumberFormat="1" applyFont="1" applyFill="1" applyBorder="1" applyAlignment="1">
      <alignment horizontal="center"/>
    </xf>
    <xf numFmtId="3" fontId="59" fillId="5" borderId="26" xfId="1" applyNumberFormat="1" applyFont="1" applyFill="1" applyBorder="1" applyAlignment="1">
      <alignment horizontal="center" vertical="center"/>
    </xf>
    <xf numFmtId="165" fontId="60" fillId="5" borderId="26" xfId="0" applyNumberFormat="1" applyFont="1" applyFill="1" applyBorder="1" applyAlignment="1">
      <alignment horizontal="center"/>
    </xf>
    <xf numFmtId="165" fontId="59" fillId="5" borderId="26" xfId="0" applyNumberFormat="1" applyFont="1" applyFill="1" applyBorder="1" applyAlignment="1">
      <alignment horizontal="center"/>
    </xf>
    <xf numFmtId="2" fontId="59" fillId="5" borderId="26" xfId="0" applyNumberFormat="1" applyFont="1" applyFill="1" applyBorder="1" applyAlignment="1">
      <alignment horizontal="center"/>
    </xf>
    <xf numFmtId="0" fontId="11" fillId="0" borderId="0" xfId="0" applyFont="1" applyAlignment="1">
      <alignment wrapText="1"/>
    </xf>
    <xf numFmtId="0" fontId="11" fillId="0" borderId="0" xfId="0" applyFont="1" applyAlignment="1"/>
    <xf numFmtId="0" fontId="20" fillId="0" borderId="0" xfId="0" applyFont="1" applyBorder="1" applyAlignment="1">
      <alignment vertical="center"/>
    </xf>
    <xf numFmtId="0" fontId="71" fillId="0" borderId="5" xfId="0" applyFont="1" applyBorder="1" applyAlignment="1">
      <alignment vertical="center"/>
    </xf>
    <xf numFmtId="0" fontId="45" fillId="0" borderId="2" xfId="0" applyFont="1" applyBorder="1" applyAlignment="1">
      <alignment vertical="center"/>
    </xf>
    <xf numFmtId="0" fontId="71" fillId="0" borderId="2" xfId="0" applyFont="1" applyBorder="1" applyAlignment="1">
      <alignment vertical="center"/>
    </xf>
    <xf numFmtId="0" fontId="11" fillId="0" borderId="7" xfId="0" applyFont="1" applyBorder="1"/>
    <xf numFmtId="0" fontId="11" fillId="0" borderId="0" xfId="0" applyFont="1" applyBorder="1" applyAlignment="1">
      <alignment vertical="center"/>
    </xf>
    <xf numFmtId="0" fontId="11" fillId="0" borderId="8" xfId="0" applyFont="1" applyBorder="1" applyAlignment="1">
      <alignment vertical="center"/>
    </xf>
    <xf numFmtId="0" fontId="72" fillId="0" borderId="0" xfId="0" applyFont="1" applyBorder="1" applyAlignment="1">
      <alignment vertical="center" wrapText="1"/>
    </xf>
    <xf numFmtId="0" fontId="75" fillId="5" borderId="26" xfId="0" applyFont="1" applyFill="1" applyBorder="1" applyAlignment="1">
      <alignment horizontal="center" vertical="center"/>
    </xf>
    <xf numFmtId="0" fontId="11" fillId="0" borderId="9" xfId="0" applyFont="1" applyBorder="1"/>
    <xf numFmtId="0" fontId="29" fillId="0" borderId="0" xfId="0" applyFont="1" applyBorder="1" applyAlignment="1">
      <alignment vertical="center" wrapText="1"/>
    </xf>
    <xf numFmtId="0" fontId="65" fillId="0" borderId="0" xfId="0" applyFont="1" applyBorder="1" applyAlignment="1">
      <alignment vertical="center"/>
    </xf>
    <xf numFmtId="0" fontId="29" fillId="0" borderId="0" xfId="0" applyFont="1" applyBorder="1" applyAlignment="1">
      <alignment vertical="center"/>
    </xf>
    <xf numFmtId="0" fontId="65" fillId="0" borderId="0" xfId="0" applyFont="1" applyBorder="1" applyAlignment="1">
      <alignment vertical="center" wrapText="1"/>
    </xf>
    <xf numFmtId="1" fontId="65" fillId="12" borderId="26" xfId="0" applyNumberFormat="1" applyFont="1" applyFill="1" applyBorder="1" applyAlignment="1">
      <alignment horizontal="center" vertical="center"/>
    </xf>
    <xf numFmtId="0" fontId="75" fillId="13" borderId="26" xfId="0" applyFont="1" applyFill="1" applyBorder="1" applyAlignment="1">
      <alignment horizontal="center" vertical="center"/>
    </xf>
    <xf numFmtId="183" fontId="65" fillId="12" borderId="26" xfId="8" applyNumberFormat="1" applyFont="1" applyFill="1" applyBorder="1" applyAlignment="1">
      <alignment horizontal="center" vertical="center"/>
    </xf>
    <xf numFmtId="0" fontId="65" fillId="0" borderId="0" xfId="0" applyFont="1" applyBorder="1"/>
    <xf numFmtId="2" fontId="65" fillId="12" borderId="26" xfId="0" applyNumberFormat="1" applyFont="1" applyFill="1" applyBorder="1" applyAlignment="1">
      <alignment horizontal="center" vertical="center"/>
    </xf>
    <xf numFmtId="0" fontId="65" fillId="0" borderId="0" xfId="0" applyFont="1" applyBorder="1" applyAlignment="1">
      <alignment horizontal="center" vertical="center"/>
    </xf>
    <xf numFmtId="0" fontId="3" fillId="0" borderId="0" xfId="0" applyFont="1" applyBorder="1" applyAlignment="1">
      <alignment vertical="center"/>
    </xf>
    <xf numFmtId="0" fontId="11" fillId="0" borderId="9" xfId="0" applyFont="1" applyBorder="1" applyAlignment="1">
      <alignment vertical="center"/>
    </xf>
    <xf numFmtId="0" fontId="71" fillId="0" borderId="8" xfId="0" applyFont="1" applyBorder="1" applyAlignment="1">
      <alignment vertical="center"/>
    </xf>
    <xf numFmtId="0" fontId="45" fillId="0" borderId="0" xfId="0" applyFont="1" applyBorder="1" applyAlignment="1">
      <alignment vertical="center"/>
    </xf>
    <xf numFmtId="0" fontId="4" fillId="0" borderId="0" xfId="0" applyFont="1" applyBorder="1" applyAlignment="1">
      <alignment horizontal="center" vertical="center" wrapText="1"/>
    </xf>
    <xf numFmtId="0" fontId="29" fillId="0" borderId="0" xfId="0" applyFont="1" applyBorder="1" applyAlignment="1">
      <alignment horizontal="center" vertical="center" wrapText="1"/>
    </xf>
    <xf numFmtId="0" fontId="4" fillId="0" borderId="0" xfId="0" applyFont="1" applyBorder="1" applyAlignment="1">
      <alignment vertical="center" wrapText="1"/>
    </xf>
    <xf numFmtId="0" fontId="76" fillId="0" borderId="0" xfId="0" applyFont="1" applyBorder="1" applyAlignment="1">
      <alignment vertical="center" wrapText="1"/>
    </xf>
    <xf numFmtId="0" fontId="77" fillId="5" borderId="26" xfId="0" applyFont="1" applyFill="1" applyBorder="1" applyAlignment="1">
      <alignment horizontal="center" vertical="center"/>
    </xf>
    <xf numFmtId="0" fontId="72" fillId="12" borderId="26" xfId="0" applyFont="1" applyFill="1" applyBorder="1" applyAlignment="1">
      <alignment horizontal="center" vertical="center"/>
    </xf>
    <xf numFmtId="0" fontId="11" fillId="0" borderId="0" xfId="0" applyFont="1" applyBorder="1"/>
    <xf numFmtId="0" fontId="11" fillId="0" borderId="3" xfId="0" applyFont="1" applyBorder="1"/>
    <xf numFmtId="0" fontId="11" fillId="0" borderId="0" xfId="0" applyFont="1" applyBorder="1" applyAlignment="1">
      <alignment vertical="center" wrapText="1"/>
    </xf>
    <xf numFmtId="0" fontId="19" fillId="0" borderId="0" xfId="0" applyFont="1" applyBorder="1" applyAlignment="1">
      <alignment vertical="center" wrapText="1"/>
    </xf>
    <xf numFmtId="0" fontId="19" fillId="5" borderId="26" xfId="0" applyFont="1" applyFill="1" applyBorder="1" applyAlignment="1">
      <alignment horizontal="center"/>
    </xf>
    <xf numFmtId="1" fontId="19" fillId="5" borderId="26" xfId="0" applyNumberFormat="1" applyFont="1" applyFill="1" applyBorder="1" applyAlignment="1">
      <alignment horizontal="center"/>
    </xf>
    <xf numFmtId="3" fontId="19" fillId="5" borderId="26" xfId="1" applyNumberFormat="1" applyFont="1" applyFill="1" applyBorder="1" applyAlignment="1">
      <alignment horizontal="center" vertical="center"/>
    </xf>
    <xf numFmtId="0" fontId="79" fillId="0" borderId="0" xfId="0" applyFont="1" applyBorder="1" applyAlignment="1">
      <alignment vertical="top"/>
    </xf>
    <xf numFmtId="165" fontId="19" fillId="5" borderId="26" xfId="0" applyNumberFormat="1" applyFont="1" applyFill="1" applyBorder="1" applyAlignment="1">
      <alignment horizontal="center"/>
    </xf>
    <xf numFmtId="0" fontId="80" fillId="0" borderId="8" xfId="0" applyFont="1" applyBorder="1" applyAlignment="1">
      <alignment vertical="center"/>
    </xf>
    <xf numFmtId="0" fontId="19" fillId="0" borderId="0" xfId="0" applyFont="1" applyBorder="1" applyAlignment="1">
      <alignment vertical="center"/>
    </xf>
    <xf numFmtId="0" fontId="45" fillId="0" borderId="8" xfId="0" applyFont="1" applyBorder="1" applyAlignment="1">
      <alignment vertical="center"/>
    </xf>
    <xf numFmtId="0" fontId="11" fillId="0" borderId="6" xfId="0" applyFont="1" applyBorder="1"/>
    <xf numFmtId="0" fontId="11" fillId="0" borderId="4" xfId="0" applyFont="1" applyBorder="1"/>
    <xf numFmtId="0" fontId="67" fillId="0" borderId="0" xfId="0" applyFont="1"/>
    <xf numFmtId="0" fontId="82" fillId="0" borderId="5" xfId="0" applyFont="1" applyBorder="1"/>
    <xf numFmtId="0" fontId="11" fillId="0" borderId="2" xfId="0" applyFont="1" applyBorder="1" applyAlignment="1">
      <alignment wrapText="1"/>
    </xf>
    <xf numFmtId="0" fontId="11" fillId="0" borderId="2" xfId="0" applyFont="1" applyBorder="1" applyAlignment="1">
      <alignment horizontal="center"/>
    </xf>
    <xf numFmtId="0" fontId="11" fillId="0" borderId="2" xfId="0" applyFont="1" applyBorder="1"/>
    <xf numFmtId="0" fontId="4" fillId="0" borderId="2" xfId="0" applyFont="1" applyBorder="1"/>
    <xf numFmtId="0" fontId="11" fillId="0" borderId="8" xfId="0" applyFont="1" applyBorder="1"/>
    <xf numFmtId="0" fontId="11" fillId="0" borderId="0" xfId="0" applyFont="1" applyBorder="1" applyAlignment="1">
      <alignment wrapText="1"/>
    </xf>
    <xf numFmtId="0" fontId="11" fillId="0" borderId="0" xfId="0" applyFont="1" applyBorder="1" applyAlignment="1">
      <alignment horizontal="center"/>
    </xf>
    <xf numFmtId="0" fontId="77" fillId="0" borderId="0" xfId="0" applyFont="1" applyBorder="1" applyAlignment="1">
      <alignment horizontal="center" wrapText="1"/>
    </xf>
    <xf numFmtId="0" fontId="29" fillId="0" borderId="0" xfId="0" applyFont="1" applyBorder="1" applyAlignment="1">
      <alignment horizontal="left" vertical="center"/>
    </xf>
    <xf numFmtId="0" fontId="65" fillId="0" borderId="0" xfId="0" applyFont="1" applyBorder="1" applyAlignment="1">
      <alignment horizontal="left" vertical="center"/>
    </xf>
    <xf numFmtId="0" fontId="29" fillId="0" borderId="0" xfId="0" applyFont="1" applyFill="1" applyBorder="1" applyAlignment="1">
      <alignment horizontal="center"/>
    </xf>
    <xf numFmtId="0" fontId="29" fillId="11" borderId="48" xfId="0" applyFont="1" applyFill="1" applyBorder="1" applyAlignment="1">
      <alignment horizontal="center" vertical="center"/>
    </xf>
    <xf numFmtId="0" fontId="29" fillId="11" borderId="44" xfId="0" applyFont="1" applyFill="1" applyBorder="1" applyAlignment="1">
      <alignment horizontal="center" vertical="center"/>
    </xf>
    <xf numFmtId="0" fontId="29" fillId="11" borderId="49" xfId="0" applyFont="1" applyFill="1" applyBorder="1" applyAlignment="1">
      <alignment horizontal="center" vertical="center"/>
    </xf>
    <xf numFmtId="0" fontId="72" fillId="0" borderId="0" xfId="0" applyFont="1" applyFill="1" applyBorder="1" applyAlignment="1">
      <alignment horizontal="left" wrapText="1"/>
    </xf>
    <xf numFmtId="0" fontId="75" fillId="0" borderId="0" xfId="0" applyFont="1" applyFill="1" applyBorder="1" applyAlignment="1">
      <alignment horizontal="center"/>
    </xf>
    <xf numFmtId="0" fontId="72" fillId="0" borderId="0" xfId="0" applyFont="1" applyBorder="1" applyAlignment="1">
      <alignment wrapText="1"/>
    </xf>
    <xf numFmtId="0" fontId="72" fillId="0" borderId="0" xfId="0" applyFont="1" applyBorder="1"/>
    <xf numFmtId="0" fontId="75" fillId="0" borderId="0" xfId="0" applyFont="1" applyBorder="1" applyAlignment="1">
      <alignment horizontal="center"/>
    </xf>
    <xf numFmtId="0" fontId="19" fillId="0" borderId="0" xfId="0" applyFont="1" applyBorder="1" applyAlignment="1">
      <alignment wrapText="1"/>
    </xf>
    <xf numFmtId="0" fontId="65" fillId="0" borderId="0" xfId="0" applyFont="1" applyBorder="1" applyAlignment="1">
      <alignment horizontal="center"/>
    </xf>
    <xf numFmtId="0" fontId="11" fillId="0" borderId="0" xfId="0" applyFont="1" applyFill="1"/>
    <xf numFmtId="0" fontId="72" fillId="0" borderId="0" xfId="0" applyFont="1" applyBorder="1" applyAlignment="1">
      <alignment horizontal="left" vertical="top" wrapText="1"/>
    </xf>
    <xf numFmtId="0" fontId="75" fillId="0" borderId="0" xfId="0" applyFont="1" applyBorder="1" applyAlignment="1">
      <alignment horizontal="center" vertical="center"/>
    </xf>
    <xf numFmtId="0" fontId="19" fillId="0" borderId="0" xfId="0" applyFont="1" applyBorder="1" applyAlignment="1"/>
    <xf numFmtId="0" fontId="45" fillId="0" borderId="0" xfId="0" applyFont="1" applyBorder="1" applyAlignment="1"/>
    <xf numFmtId="0" fontId="11" fillId="0" borderId="3" xfId="0" applyFont="1" applyBorder="1" applyAlignment="1">
      <alignment wrapText="1"/>
    </xf>
    <xf numFmtId="0" fontId="11" fillId="0" borderId="3" xfId="0" applyFont="1" applyBorder="1" applyAlignment="1">
      <alignment horizontal="center"/>
    </xf>
    <xf numFmtId="0" fontId="11" fillId="0" borderId="3" xfId="0" applyFont="1" applyFill="1" applyBorder="1"/>
    <xf numFmtId="0" fontId="83" fillId="0" borderId="3" xfId="0" applyFont="1" applyBorder="1"/>
    <xf numFmtId="0" fontId="82" fillId="0" borderId="13" xfId="0" applyFont="1" applyBorder="1"/>
    <xf numFmtId="0" fontId="11" fillId="0" borderId="15" xfId="0" applyFont="1" applyBorder="1" applyAlignment="1">
      <alignment wrapText="1"/>
    </xf>
    <xf numFmtId="0" fontId="11" fillId="17" borderId="5" xfId="0" applyFont="1" applyFill="1" applyBorder="1"/>
    <xf numFmtId="0" fontId="11" fillId="17" borderId="2" xfId="0" applyFont="1" applyFill="1" applyBorder="1"/>
    <xf numFmtId="0" fontId="11" fillId="17" borderId="7" xfId="0" applyFont="1" applyFill="1" applyBorder="1"/>
    <xf numFmtId="0" fontId="84" fillId="14" borderId="13" xfId="0" applyFont="1" applyFill="1" applyBorder="1" applyAlignment="1">
      <alignment horizontal="right"/>
    </xf>
    <xf numFmtId="0" fontId="72" fillId="12" borderId="50" xfId="0" applyFont="1" applyFill="1" applyBorder="1" applyAlignment="1">
      <alignment horizontal="center"/>
    </xf>
    <xf numFmtId="0" fontId="72" fillId="12" borderId="27" xfId="0" applyFont="1" applyFill="1" applyBorder="1" applyAlignment="1">
      <alignment horizontal="center"/>
    </xf>
    <xf numFmtId="0" fontId="72" fillId="12" borderId="29" xfId="0" applyFont="1" applyFill="1" applyBorder="1" applyAlignment="1">
      <alignment horizontal="center"/>
    </xf>
    <xf numFmtId="0" fontId="65" fillId="0" borderId="0" xfId="0" applyFont="1" applyFill="1" applyBorder="1" applyAlignment="1">
      <alignment horizontal="center"/>
    </xf>
    <xf numFmtId="0" fontId="65" fillId="0" borderId="0" xfId="0" applyFont="1" applyFill="1" applyBorder="1" applyAlignment="1">
      <alignment horizontal="left"/>
    </xf>
    <xf numFmtId="0" fontId="19" fillId="5" borderId="26" xfId="0" applyFont="1" applyFill="1" applyBorder="1" applyAlignment="1">
      <alignment horizontal="center" vertical="center"/>
    </xf>
    <xf numFmtId="1" fontId="19" fillId="13" borderId="26" xfId="0" applyNumberFormat="1" applyFont="1" applyFill="1" applyBorder="1" applyAlignment="1">
      <alignment horizontal="center" vertical="center"/>
    </xf>
    <xf numFmtId="0" fontId="65" fillId="0" borderId="0" xfId="0" applyFont="1"/>
    <xf numFmtId="0" fontId="29" fillId="12" borderId="48" xfId="0" applyFont="1" applyFill="1" applyBorder="1" applyAlignment="1">
      <alignment horizontal="left"/>
    </xf>
    <xf numFmtId="0" fontId="29" fillId="6" borderId="15" xfId="0" applyFont="1" applyFill="1" applyBorder="1" applyAlignment="1"/>
    <xf numFmtId="0" fontId="29" fillId="6" borderId="14" xfId="0" applyFont="1" applyFill="1" applyBorder="1" applyAlignment="1"/>
    <xf numFmtId="0" fontId="65" fillId="12" borderId="51" xfId="0" applyFont="1" applyFill="1" applyBorder="1" applyAlignment="1">
      <alignment horizontal="center"/>
    </xf>
    <xf numFmtId="0" fontId="29" fillId="6" borderId="13" xfId="0" applyFont="1" applyFill="1" applyBorder="1" applyAlignment="1"/>
    <xf numFmtId="0" fontId="29" fillId="4" borderId="48" xfId="0" applyFont="1" applyFill="1" applyBorder="1"/>
    <xf numFmtId="0" fontId="65" fillId="4" borderId="49" xfId="0" applyFont="1" applyFill="1" applyBorder="1"/>
    <xf numFmtId="0" fontId="4" fillId="0" borderId="13" xfId="0" applyFont="1" applyBorder="1"/>
    <xf numFmtId="0" fontId="86" fillId="0" borderId="0" xfId="0" applyFont="1"/>
    <xf numFmtId="0" fontId="51" fillId="0" borderId="0" xfId="0" applyFont="1" applyBorder="1"/>
    <xf numFmtId="0" fontId="51" fillId="0" borderId="0" xfId="0" applyFont="1"/>
    <xf numFmtId="168" fontId="41" fillId="0" borderId="0" xfId="0" applyNumberFormat="1" applyFont="1" applyAlignment="1">
      <alignment horizontal="center"/>
    </xf>
    <xf numFmtId="0" fontId="0" fillId="0" borderId="15" xfId="0" applyBorder="1"/>
    <xf numFmtId="0" fontId="0" fillId="0" borderId="14" xfId="0" applyBorder="1"/>
    <xf numFmtId="0" fontId="78" fillId="0" borderId="0" xfId="0" applyFont="1" applyBorder="1"/>
    <xf numFmtId="0" fontId="55" fillId="0" borderId="0" xfId="0" applyFont="1"/>
    <xf numFmtId="0" fontId="3" fillId="0" borderId="0" xfId="0" applyFont="1" applyAlignment="1"/>
    <xf numFmtId="1" fontId="76" fillId="12" borderId="26" xfId="0" applyNumberFormat="1" applyFont="1" applyFill="1" applyBorder="1" applyAlignment="1">
      <alignment horizontal="center" vertical="center" wrapText="1"/>
    </xf>
    <xf numFmtId="0" fontId="29" fillId="12" borderId="26" xfId="0" applyFont="1" applyFill="1" applyBorder="1" applyAlignment="1">
      <alignment horizontal="center" vertical="center"/>
    </xf>
    <xf numFmtId="0" fontId="8" fillId="0" borderId="0" xfId="0" applyFont="1" applyAlignment="1">
      <alignment horizontal="center"/>
    </xf>
    <xf numFmtId="0" fontId="65" fillId="0" borderId="25" xfId="0" applyFont="1" applyBorder="1" applyAlignment="1">
      <alignment horizontal="center"/>
    </xf>
    <xf numFmtId="187" fontId="3" fillId="0" borderId="0" xfId="0" applyNumberFormat="1" applyFont="1" applyFill="1" applyAlignment="1">
      <alignment horizontal="center"/>
    </xf>
    <xf numFmtId="187" fontId="3" fillId="0" borderId="0" xfId="0" applyNumberFormat="1" applyFont="1" applyFill="1" applyBorder="1" applyAlignment="1">
      <alignment horizontal="center"/>
    </xf>
    <xf numFmtId="0" fontId="8" fillId="9" borderId="0" xfId="0" applyFont="1" applyFill="1" applyAlignment="1">
      <alignment horizontal="center"/>
    </xf>
    <xf numFmtId="0" fontId="8" fillId="8" borderId="0" xfId="0" applyFont="1" applyFill="1" applyAlignment="1">
      <alignment horizontal="center"/>
    </xf>
    <xf numFmtId="0" fontId="8" fillId="10" borderId="0" xfId="0" applyFont="1" applyFill="1" applyAlignment="1">
      <alignment horizontal="center"/>
    </xf>
    <xf numFmtId="8" fontId="3" fillId="0" borderId="0" xfId="0" applyNumberFormat="1" applyFont="1"/>
    <xf numFmtId="0" fontId="83" fillId="0" borderId="0" xfId="0" applyFont="1"/>
    <xf numFmtId="0" fontId="87" fillId="5" borderId="13" xfId="0" applyNumberFormat="1" applyFont="1" applyFill="1" applyBorder="1" applyAlignment="1">
      <alignment horizontal="left"/>
    </xf>
    <xf numFmtId="0" fontId="87" fillId="5" borderId="13" xfId="0" applyNumberFormat="1" applyFont="1" applyFill="1" applyBorder="1" applyAlignment="1">
      <alignment horizontal="left" vertical="center" wrapText="1"/>
    </xf>
    <xf numFmtId="3" fontId="3" fillId="0" borderId="0" xfId="0" applyNumberFormat="1" applyFont="1"/>
    <xf numFmtId="0" fontId="0" fillId="0" borderId="8" xfId="0" applyBorder="1"/>
    <xf numFmtId="0" fontId="0" fillId="0" borderId="9" xfId="0" applyBorder="1"/>
    <xf numFmtId="0" fontId="11" fillId="0" borderId="2" xfId="0" applyFont="1" applyBorder="1" applyAlignment="1">
      <alignment vertical="center"/>
    </xf>
    <xf numFmtId="0" fontId="11" fillId="0" borderId="7" xfId="0" applyFont="1" applyBorder="1" applyAlignment="1">
      <alignment vertical="center"/>
    </xf>
    <xf numFmtId="0" fontId="67" fillId="0" borderId="0" xfId="0" applyFont="1" applyBorder="1"/>
    <xf numFmtId="0" fontId="67" fillId="0" borderId="9" xfId="0" applyFont="1" applyBorder="1"/>
    <xf numFmtId="0" fontId="11" fillId="0" borderId="0" xfId="0" applyFont="1" applyFill="1" applyBorder="1"/>
    <xf numFmtId="0" fontId="11" fillId="0" borderId="9" xfId="0" applyFont="1" applyFill="1" applyBorder="1"/>
    <xf numFmtId="0" fontId="11" fillId="0" borderId="4" xfId="0" applyFont="1" applyFill="1" applyBorder="1"/>
    <xf numFmtId="0" fontId="29" fillId="11" borderId="26" xfId="0" applyFont="1" applyFill="1" applyBorder="1" applyAlignment="1">
      <alignment horizontal="center" vertical="center"/>
    </xf>
    <xf numFmtId="0" fontId="65" fillId="0" borderId="57" xfId="0" applyFont="1" applyBorder="1" applyAlignment="1">
      <alignment horizontal="center"/>
    </xf>
    <xf numFmtId="3" fontId="34" fillId="0" borderId="0" xfId="0" applyNumberFormat="1" applyFont="1" applyAlignment="1">
      <alignment horizontal="center"/>
    </xf>
    <xf numFmtId="0" fontId="83" fillId="0" borderId="0" xfId="0" applyFont="1" applyBorder="1" applyAlignment="1">
      <alignment vertical="center"/>
    </xf>
    <xf numFmtId="0" fontId="74" fillId="0" borderId="2" xfId="0" applyFont="1" applyBorder="1" applyAlignment="1">
      <alignment horizontal="center" vertical="center" wrapText="1"/>
    </xf>
    <xf numFmtId="0" fontId="74" fillId="0" borderId="0" xfId="0" applyFont="1" applyBorder="1" applyAlignment="1">
      <alignment horizontal="center" wrapText="1"/>
    </xf>
    <xf numFmtId="0" fontId="28" fillId="0" borderId="0" xfId="0" applyFont="1" applyBorder="1" applyAlignment="1">
      <alignment vertical="center"/>
    </xf>
    <xf numFmtId="0" fontId="77" fillId="0" borderId="0" xfId="0" applyFont="1" applyBorder="1"/>
    <xf numFmtId="0" fontId="75" fillId="0" borderId="0" xfId="0" applyFont="1" applyBorder="1" applyAlignment="1">
      <alignment horizontal="left" vertical="center"/>
    </xf>
    <xf numFmtId="0" fontId="83" fillId="0" borderId="0" xfId="0" applyFont="1" applyBorder="1"/>
    <xf numFmtId="3" fontId="65" fillId="0" borderId="0" xfId="1" applyNumberFormat="1" applyFont="1" applyFill="1" applyBorder="1" applyAlignment="1">
      <alignment horizontal="center" vertical="center"/>
    </xf>
    <xf numFmtId="0" fontId="29" fillId="20" borderId="5" xfId="0" applyFont="1" applyFill="1" applyBorder="1"/>
    <xf numFmtId="0" fontId="65" fillId="20" borderId="2" xfId="0" applyFont="1" applyFill="1" applyBorder="1"/>
    <xf numFmtId="0" fontId="11" fillId="20" borderId="7" xfId="0" applyFont="1" applyFill="1" applyBorder="1"/>
    <xf numFmtId="0" fontId="29" fillId="21" borderId="6" xfId="0" applyFont="1" applyFill="1" applyBorder="1"/>
    <xf numFmtId="0" fontId="65" fillId="21" borderId="3" xfId="0" applyFont="1" applyFill="1" applyBorder="1"/>
    <xf numFmtId="0" fontId="11" fillId="21" borderId="4" xfId="0" applyFont="1" applyFill="1" applyBorder="1"/>
    <xf numFmtId="0" fontId="29" fillId="0" borderId="2" xfId="0" applyFont="1" applyBorder="1" applyAlignment="1">
      <alignment horizontal="center" vertical="center" wrapText="1"/>
    </xf>
    <xf numFmtId="0" fontId="76" fillId="12" borderId="26" xfId="0" applyFont="1" applyFill="1" applyBorder="1" applyAlignment="1">
      <alignment horizontal="center" vertical="center"/>
    </xf>
    <xf numFmtId="0" fontId="90" fillId="5" borderId="26" xfId="0" applyFont="1" applyFill="1" applyBorder="1" applyAlignment="1">
      <alignment horizontal="center" vertical="center"/>
    </xf>
    <xf numFmtId="1" fontId="90" fillId="5" borderId="26" xfId="0" applyNumberFormat="1" applyFont="1" applyFill="1" applyBorder="1" applyAlignment="1">
      <alignment horizontal="center" vertical="center"/>
    </xf>
    <xf numFmtId="0" fontId="68" fillId="0" borderId="0" xfId="0" applyFont="1" applyBorder="1" applyAlignment="1">
      <alignment vertical="center" wrapText="1"/>
    </xf>
    <xf numFmtId="0" fontId="91" fillId="0" borderId="0" xfId="0" applyFont="1" applyBorder="1" applyAlignment="1">
      <alignment vertical="center" wrapText="1"/>
    </xf>
    <xf numFmtId="0" fontId="68" fillId="0" borderId="0" xfId="0" applyFont="1" applyBorder="1"/>
    <xf numFmtId="3" fontId="29" fillId="12" borderId="30" xfId="0" applyNumberFormat="1" applyFont="1" applyFill="1" applyBorder="1" applyAlignment="1">
      <alignment horizontal="center" vertical="center"/>
    </xf>
    <xf numFmtId="3" fontId="29" fillId="12" borderId="26" xfId="0" applyNumberFormat="1" applyFont="1" applyFill="1" applyBorder="1" applyAlignment="1">
      <alignment horizontal="center" vertical="center"/>
    </xf>
    <xf numFmtId="3" fontId="29" fillId="12" borderId="31" xfId="0" applyNumberFormat="1" applyFont="1" applyFill="1" applyBorder="1" applyAlignment="1">
      <alignment horizontal="center" vertical="center"/>
    </xf>
    <xf numFmtId="3" fontId="29" fillId="12" borderId="32" xfId="0" applyNumberFormat="1" applyFont="1" applyFill="1" applyBorder="1" applyAlignment="1">
      <alignment horizontal="center" vertical="center"/>
    </xf>
    <xf numFmtId="3" fontId="29" fillId="12" borderId="33" xfId="0" applyNumberFormat="1" applyFont="1" applyFill="1" applyBorder="1" applyAlignment="1">
      <alignment horizontal="center" vertical="center"/>
    </xf>
    <xf numFmtId="3" fontId="29" fillId="12" borderId="34" xfId="0" applyNumberFormat="1" applyFont="1" applyFill="1" applyBorder="1" applyAlignment="1">
      <alignment horizontal="center" vertical="center"/>
    </xf>
    <xf numFmtId="4" fontId="65" fillId="0" borderId="0" xfId="0" applyNumberFormat="1" applyFont="1"/>
    <xf numFmtId="0" fontId="59" fillId="0" borderId="26" xfId="0" applyFont="1" applyBorder="1"/>
    <xf numFmtId="0" fontId="11" fillId="5" borderId="26" xfId="0" applyFont="1" applyFill="1" applyBorder="1" applyAlignment="1">
      <alignment horizontal="center" vertical="center"/>
    </xf>
    <xf numFmtId="0" fontId="0" fillId="0" borderId="7" xfId="0" applyBorder="1"/>
    <xf numFmtId="1" fontId="59" fillId="5" borderId="30" xfId="0" applyNumberFormat="1" applyFont="1" applyFill="1" applyBorder="1" applyAlignment="1">
      <alignment horizontal="center"/>
    </xf>
    <xf numFmtId="1" fontId="59" fillId="5" borderId="31" xfId="0" applyNumberFormat="1" applyFont="1" applyFill="1" applyBorder="1" applyAlignment="1">
      <alignment horizontal="center"/>
    </xf>
    <xf numFmtId="0" fontId="59" fillId="5" borderId="30" xfId="0" applyFont="1" applyFill="1" applyBorder="1" applyAlignment="1">
      <alignment horizontal="center"/>
    </xf>
    <xf numFmtId="0" fontId="59" fillId="5" borderId="31" xfId="0" applyFont="1" applyFill="1" applyBorder="1" applyAlignment="1">
      <alignment horizontal="center"/>
    </xf>
    <xf numFmtId="3" fontId="59" fillId="5" borderId="30" xfId="1" applyNumberFormat="1" applyFont="1" applyFill="1" applyBorder="1" applyAlignment="1">
      <alignment horizontal="center" vertical="center"/>
    </xf>
    <xf numFmtId="3" fontId="59" fillId="5" borderId="31" xfId="1" applyNumberFormat="1" applyFont="1" applyFill="1" applyBorder="1" applyAlignment="1">
      <alignment horizontal="center" vertical="center"/>
    </xf>
    <xf numFmtId="165" fontId="59" fillId="5" borderId="30" xfId="0" applyNumberFormat="1" applyFont="1" applyFill="1" applyBorder="1" applyAlignment="1">
      <alignment horizontal="center"/>
    </xf>
    <xf numFmtId="165" fontId="59" fillId="5" borderId="31" xfId="0" applyNumberFormat="1" applyFont="1" applyFill="1" applyBorder="1" applyAlignment="1">
      <alignment horizontal="center"/>
    </xf>
    <xf numFmtId="0" fontId="59" fillId="0" borderId="30" xfId="0" applyFont="1" applyBorder="1"/>
    <xf numFmtId="0" fontId="59" fillId="0" borderId="31" xfId="0" applyFont="1" applyBorder="1"/>
    <xf numFmtId="165" fontId="60" fillId="5" borderId="30" xfId="0" applyNumberFormat="1" applyFont="1" applyFill="1" applyBorder="1" applyAlignment="1">
      <alignment horizontal="center"/>
    </xf>
    <xf numFmtId="165" fontId="60" fillId="5" borderId="31" xfId="0" applyNumberFormat="1" applyFont="1" applyFill="1" applyBorder="1" applyAlignment="1">
      <alignment horizontal="center"/>
    </xf>
    <xf numFmtId="2" fontId="59" fillId="5" borderId="30" xfId="0" applyNumberFormat="1" applyFont="1" applyFill="1" applyBorder="1" applyAlignment="1">
      <alignment horizontal="center"/>
    </xf>
    <xf numFmtId="2" fontId="59" fillId="5" borderId="31" xfId="0" applyNumberFormat="1" applyFont="1" applyFill="1" applyBorder="1" applyAlignment="1">
      <alignment horizontal="center"/>
    </xf>
    <xf numFmtId="0" fontId="11" fillId="5" borderId="30" xfId="0" applyFont="1" applyFill="1" applyBorder="1" applyAlignment="1">
      <alignment horizontal="center" vertical="center"/>
    </xf>
    <xf numFmtId="0" fontId="11" fillId="5" borderId="31" xfId="0" applyFont="1" applyFill="1" applyBorder="1" applyAlignment="1">
      <alignment horizontal="center" vertical="center"/>
    </xf>
    <xf numFmtId="0" fontId="0" fillId="0" borderId="6" xfId="0" applyBorder="1"/>
    <xf numFmtId="0" fontId="0" fillId="0" borderId="4" xfId="0" applyBorder="1"/>
    <xf numFmtId="0" fontId="11" fillId="0" borderId="55" xfId="0" applyFont="1" applyBorder="1"/>
    <xf numFmtId="0" fontId="11" fillId="0" borderId="24" xfId="0" applyFont="1" applyBorder="1"/>
    <xf numFmtId="0" fontId="11" fillId="0" borderId="14" xfId="0" applyFont="1" applyBorder="1"/>
    <xf numFmtId="0" fontId="11" fillId="0" borderId="56" xfId="0" applyFont="1" applyBorder="1"/>
    <xf numFmtId="0" fontId="4" fillId="0" borderId="6" xfId="0" applyFont="1" applyBorder="1"/>
    <xf numFmtId="43" fontId="3" fillId="0" borderId="0" xfId="0" applyNumberFormat="1" applyFont="1" applyBorder="1" applyAlignment="1"/>
    <xf numFmtId="43" fontId="3" fillId="0" borderId="1" xfId="0" applyNumberFormat="1" applyFont="1" applyBorder="1" applyAlignment="1"/>
    <xf numFmtId="172" fontId="3" fillId="0" borderId="0" xfId="0" applyNumberFormat="1" applyFont="1" applyBorder="1" applyAlignment="1"/>
    <xf numFmtId="173" fontId="3" fillId="0" borderId="0" xfId="0" applyNumberFormat="1" applyFont="1" applyBorder="1" applyAlignment="1"/>
    <xf numFmtId="169" fontId="3" fillId="0" borderId="0" xfId="0" applyNumberFormat="1" applyFont="1" applyBorder="1" applyAlignment="1"/>
    <xf numFmtId="170" fontId="3" fillId="6" borderId="0" xfId="0" applyNumberFormat="1" applyFont="1" applyFill="1" applyBorder="1" applyAlignment="1"/>
    <xf numFmtId="170" fontId="3" fillId="0" borderId="0" xfId="0" applyNumberFormat="1" applyFont="1" applyBorder="1" applyAlignment="1"/>
    <xf numFmtId="43" fontId="3" fillId="6" borderId="0" xfId="1" applyFont="1" applyFill="1" applyBorder="1" applyAlignment="1"/>
    <xf numFmtId="170" fontId="3" fillId="6" borderId="0" xfId="1" applyNumberFormat="1" applyFont="1" applyFill="1" applyBorder="1" applyAlignment="1"/>
    <xf numFmtId="166" fontId="3" fillId="0" borderId="0" xfId="1" applyNumberFormat="1" applyFont="1" applyFill="1" applyBorder="1" applyAlignment="1"/>
    <xf numFmtId="169" fontId="3" fillId="6" borderId="0" xfId="1" applyNumberFormat="1" applyFont="1" applyFill="1" applyBorder="1" applyAlignment="1"/>
    <xf numFmtId="0" fontId="8" fillId="0" borderId="0" xfId="0" applyFont="1" applyAlignment="1">
      <alignment horizontal="right"/>
    </xf>
    <xf numFmtId="188" fontId="3" fillId="0" borderId="0" xfId="0" applyNumberFormat="1" applyFont="1" applyFill="1" applyAlignment="1">
      <alignment horizontal="right"/>
    </xf>
    <xf numFmtId="188" fontId="3" fillId="0" borderId="0" xfId="0" applyNumberFormat="1" applyFont="1" applyFill="1" applyBorder="1" applyAlignment="1">
      <alignment horizontal="right"/>
    </xf>
    <xf numFmtId="0" fontId="27" fillId="0" borderId="0" xfId="0" applyFont="1" applyBorder="1"/>
    <xf numFmtId="0" fontId="24" fillId="12" borderId="0" xfId="0" applyFont="1" applyFill="1" applyAlignment="1">
      <alignment horizontal="center"/>
    </xf>
    <xf numFmtId="0" fontId="73" fillId="0" borderId="2" xfId="0" applyFont="1" applyBorder="1" applyAlignment="1">
      <alignment horizontal="center" wrapText="1"/>
    </xf>
    <xf numFmtId="0" fontId="29" fillId="0" borderId="2" xfId="0" applyFont="1" applyBorder="1" applyAlignment="1">
      <alignment horizontal="center" wrapText="1"/>
    </xf>
    <xf numFmtId="0" fontId="3" fillId="0" borderId="0" xfId="0" applyFont="1"/>
    <xf numFmtId="0" fontId="61" fillId="0" borderId="0" xfId="0" applyFont="1"/>
    <xf numFmtId="0" fontId="61" fillId="0" borderId="0" xfId="0" applyFont="1" applyFill="1"/>
    <xf numFmtId="0" fontId="94" fillId="0" borderId="0" xfId="0" applyFont="1" applyBorder="1"/>
    <xf numFmtId="0" fontId="94" fillId="0" borderId="0" xfId="0" applyFont="1"/>
    <xf numFmtId="0" fontId="55" fillId="0" borderId="0" xfId="0" applyFont="1" applyFill="1" applyBorder="1"/>
    <xf numFmtId="40" fontId="3" fillId="0" borderId="0" xfId="0" applyNumberFormat="1" applyFont="1"/>
    <xf numFmtId="0" fontId="13" fillId="0" borderId="24" xfId="0" applyFont="1" applyBorder="1"/>
    <xf numFmtId="0" fontId="13" fillId="14" borderId="15" xfId="0" applyFont="1" applyFill="1" applyBorder="1" applyAlignment="1">
      <alignment horizontal="center"/>
    </xf>
    <xf numFmtId="0" fontId="13" fillId="14" borderId="14" xfId="0" applyFont="1" applyFill="1" applyBorder="1" applyAlignment="1">
      <alignment horizontal="center"/>
    </xf>
    <xf numFmtId="0" fontId="8" fillId="0" borderId="0" xfId="0" applyFont="1" applyAlignment="1">
      <alignment vertical="center"/>
    </xf>
    <xf numFmtId="0" fontId="3" fillId="0" borderId="0" xfId="0" applyFont="1" applyAlignment="1">
      <alignment vertical="center"/>
    </xf>
    <xf numFmtId="2" fontId="4" fillId="0" borderId="0" xfId="0" applyNumberFormat="1" applyFont="1" applyAlignment="1"/>
    <xf numFmtId="0" fontId="4" fillId="0" borderId="60" xfId="0" applyFont="1" applyFill="1" applyBorder="1" applyAlignment="1">
      <alignment horizontal="left"/>
    </xf>
    <xf numFmtId="1" fontId="11" fillId="0" borderId="50" xfId="1" applyNumberFormat="1" applyFont="1" applyFill="1" applyBorder="1" applyAlignment="1">
      <alignment horizontal="center" vertical="center"/>
    </xf>
    <xf numFmtId="1" fontId="11" fillId="0" borderId="27" xfId="1" applyNumberFormat="1" applyFont="1" applyFill="1" applyBorder="1" applyAlignment="1">
      <alignment horizontal="center" vertical="center"/>
    </xf>
    <xf numFmtId="1" fontId="11" fillId="0" borderId="29" xfId="1" applyNumberFormat="1" applyFont="1" applyFill="1" applyBorder="1" applyAlignment="1">
      <alignment horizontal="center" vertical="center"/>
    </xf>
    <xf numFmtId="0" fontId="4" fillId="0" borderId="61" xfId="0" applyFont="1" applyFill="1" applyBorder="1" applyAlignment="1">
      <alignment horizontal="left"/>
    </xf>
    <xf numFmtId="1" fontId="11" fillId="0" borderId="30" xfId="1" applyNumberFormat="1" applyFont="1" applyFill="1" applyBorder="1" applyAlignment="1">
      <alignment horizontal="center" vertical="center"/>
    </xf>
    <xf numFmtId="1" fontId="11" fillId="0" borderId="26" xfId="1" applyNumberFormat="1" applyFont="1" applyFill="1" applyBorder="1" applyAlignment="1">
      <alignment horizontal="center" vertical="center"/>
    </xf>
    <xf numFmtId="1" fontId="11" fillId="0" borderId="31" xfId="1" applyNumberFormat="1" applyFont="1" applyFill="1" applyBorder="1" applyAlignment="1">
      <alignment horizontal="center" vertical="center"/>
    </xf>
    <xf numFmtId="0" fontId="13" fillId="0" borderId="54" xfId="0" applyFont="1" applyBorder="1"/>
    <xf numFmtId="0" fontId="13" fillId="14" borderId="2" xfId="0" applyFont="1" applyFill="1" applyBorder="1" applyAlignment="1">
      <alignment horizontal="center"/>
    </xf>
    <xf numFmtId="0" fontId="13" fillId="14" borderId="7" xfId="0" applyFont="1" applyFill="1" applyBorder="1" applyAlignment="1">
      <alignment horizontal="center"/>
    </xf>
    <xf numFmtId="0" fontId="3" fillId="0" borderId="0" xfId="0" applyFont="1" applyAlignment="1">
      <alignment horizontal="left"/>
    </xf>
    <xf numFmtId="2" fontId="8" fillId="0" borderId="0" xfId="0" applyNumberFormat="1" applyFont="1" applyBorder="1" applyAlignment="1">
      <alignment horizontal="center"/>
    </xf>
    <xf numFmtId="2" fontId="4" fillId="0" borderId="0" xfId="0" applyNumberFormat="1" applyFont="1" applyFill="1" applyBorder="1" applyAlignment="1">
      <alignment horizontal="center"/>
    </xf>
    <xf numFmtId="0" fontId="8" fillId="0" borderId="0" xfId="0" applyFont="1" applyAlignment="1">
      <alignment horizontal="center"/>
    </xf>
    <xf numFmtId="0" fontId="4" fillId="0" borderId="0" xfId="0" applyFont="1" applyAlignment="1">
      <alignment horizontal="left"/>
    </xf>
    <xf numFmtId="0" fontId="4" fillId="0" borderId="0" xfId="0" applyFont="1" applyAlignment="1">
      <alignment horizontal="center"/>
    </xf>
    <xf numFmtId="0" fontId="8" fillId="0" borderId="1" xfId="0" applyFont="1" applyBorder="1" applyAlignment="1">
      <alignment horizontal="center"/>
    </xf>
    <xf numFmtId="170" fontId="8" fillId="0" borderId="0" xfId="0" applyNumberFormat="1" applyFont="1" applyAlignment="1">
      <alignment horizontal="center"/>
    </xf>
    <xf numFmtId="0" fontId="24" fillId="12" borderId="26" xfId="0" applyFont="1" applyFill="1" applyBorder="1" applyAlignment="1">
      <alignment horizontal="left" wrapText="1"/>
    </xf>
    <xf numFmtId="0" fontId="27" fillId="0" borderId="0" xfId="3" applyFont="1"/>
    <xf numFmtId="0" fontId="61" fillId="0" borderId="0" xfId="3" applyFont="1"/>
    <xf numFmtId="0" fontId="62" fillId="0" borderId="24" xfId="3" applyFont="1" applyBorder="1" applyAlignment="1"/>
    <xf numFmtId="0" fontId="62" fillId="6" borderId="24" xfId="3" applyFont="1" applyFill="1" applyBorder="1" applyAlignment="1">
      <alignment horizontal="center" vertical="center"/>
    </xf>
    <xf numFmtId="0" fontId="62" fillId="0" borderId="14" xfId="3" applyFont="1" applyFill="1" applyBorder="1" applyAlignment="1">
      <alignment horizontal="center"/>
    </xf>
    <xf numFmtId="0" fontId="62" fillId="12" borderId="24" xfId="3" applyFont="1" applyFill="1" applyBorder="1" applyAlignment="1">
      <alignment horizontal="center" vertical="center"/>
    </xf>
    <xf numFmtId="0" fontId="62" fillId="0" borderId="0" xfId="3" applyFont="1" applyBorder="1" applyAlignment="1">
      <alignment horizontal="center"/>
    </xf>
    <xf numFmtId="0" fontId="24" fillId="5" borderId="26" xfId="0" applyFont="1" applyFill="1" applyBorder="1" applyAlignment="1">
      <alignment wrapText="1"/>
    </xf>
    <xf numFmtId="0" fontId="62" fillId="0" borderId="13" xfId="3" applyFont="1" applyBorder="1" applyAlignment="1">
      <alignment horizontal="left"/>
    </xf>
    <xf numFmtId="0" fontId="62" fillId="6" borderId="13" xfId="3" applyFont="1" applyFill="1" applyBorder="1" applyAlignment="1"/>
    <xf numFmtId="0" fontId="62" fillId="6" borderId="15" xfId="3" applyFont="1" applyFill="1" applyBorder="1" applyAlignment="1"/>
    <xf numFmtId="0" fontId="62" fillId="6" borderId="14" xfId="3" applyFont="1" applyFill="1" applyBorder="1" applyAlignment="1"/>
    <xf numFmtId="0" fontId="62" fillId="0" borderId="0" xfId="3" applyFont="1" applyBorder="1" applyAlignment="1"/>
    <xf numFmtId="0" fontId="61" fillId="6" borderId="13" xfId="3" applyFont="1" applyFill="1" applyBorder="1" applyAlignment="1">
      <alignment horizontal="left" wrapText="1"/>
    </xf>
    <xf numFmtId="0" fontId="62" fillId="6" borderId="15" xfId="3" applyFont="1" applyFill="1" applyBorder="1" applyAlignment="1">
      <alignment horizontal="left" wrapText="1"/>
    </xf>
    <xf numFmtId="0" fontId="62" fillId="6" borderId="14" xfId="3" applyFont="1" applyFill="1" applyBorder="1" applyAlignment="1">
      <alignment horizontal="left" wrapText="1"/>
    </xf>
    <xf numFmtId="0" fontId="62" fillId="0" borderId="24" xfId="3" applyFont="1" applyBorder="1" applyAlignment="1">
      <alignment horizontal="left"/>
    </xf>
    <xf numFmtId="0" fontId="62" fillId="6" borderId="13" xfId="3" applyFont="1" applyFill="1" applyBorder="1" applyAlignment="1">
      <alignment horizontal="left" wrapText="1"/>
    </xf>
    <xf numFmtId="0" fontId="62" fillId="0" borderId="24" xfId="3" applyFont="1" applyBorder="1" applyAlignment="1">
      <alignment vertical="center"/>
    </xf>
    <xf numFmtId="0" fontId="62" fillId="0" borderId="24" xfId="3" applyFont="1" applyBorder="1" applyAlignment="1">
      <alignment horizontal="center" vertical="center" wrapText="1"/>
    </xf>
    <xf numFmtId="0" fontId="62" fillId="0" borderId="0" xfId="3" applyFont="1" applyBorder="1" applyAlignment="1">
      <alignment horizontal="center" vertical="center" wrapText="1"/>
    </xf>
    <xf numFmtId="0" fontId="24" fillId="0" borderId="0" xfId="3" applyFont="1" applyAlignment="1">
      <alignment horizontal="center"/>
    </xf>
    <xf numFmtId="0" fontId="24" fillId="12" borderId="27" xfId="3" applyFont="1" applyFill="1" applyBorder="1"/>
    <xf numFmtId="0" fontId="27" fillId="12" borderId="27" xfId="3" applyFont="1" applyFill="1" applyBorder="1"/>
    <xf numFmtId="0" fontId="27" fillId="13" borderId="27" xfId="3" applyFont="1" applyFill="1" applyBorder="1"/>
    <xf numFmtId="0" fontId="27" fillId="0" borderId="7" xfId="3" applyFont="1" applyBorder="1"/>
    <xf numFmtId="0" fontId="24" fillId="0" borderId="0" xfId="3" applyFont="1" applyBorder="1"/>
    <xf numFmtId="0" fontId="95" fillId="0" borderId="0" xfId="3" applyFont="1"/>
    <xf numFmtId="0" fontId="61" fillId="0" borderId="8" xfId="3" applyFont="1" applyBorder="1"/>
    <xf numFmtId="0" fontId="61" fillId="0" borderId="0" xfId="3" applyFont="1" applyBorder="1"/>
    <xf numFmtId="0" fontId="61" fillId="0" borderId="9" xfId="3" applyFont="1" applyBorder="1"/>
    <xf numFmtId="0" fontId="61" fillId="0" borderId="13" xfId="3" applyFont="1" applyBorder="1"/>
    <xf numFmtId="0" fontId="61" fillId="0" borderId="14" xfId="3" applyFont="1" applyBorder="1"/>
    <xf numFmtId="165" fontId="24" fillId="0" borderId="0" xfId="3" applyNumberFormat="1" applyFont="1" applyBorder="1" applyAlignment="1">
      <alignment horizontal="center"/>
    </xf>
    <xf numFmtId="2" fontId="27" fillId="0" borderId="0" xfId="3" applyNumberFormat="1" applyFont="1" applyFill="1" applyBorder="1" applyAlignment="1">
      <alignment horizontal="center"/>
    </xf>
    <xf numFmtId="0" fontId="27" fillId="0" borderId="0" xfId="3" applyFont="1" applyBorder="1" applyAlignment="1">
      <alignment horizontal="left"/>
    </xf>
    <xf numFmtId="0" fontId="27" fillId="0" borderId="9" xfId="3" applyFont="1" applyBorder="1" applyAlignment="1">
      <alignment horizontal="left"/>
    </xf>
    <xf numFmtId="0" fontId="62" fillId="0" borderId="5" xfId="3" applyFont="1" applyBorder="1"/>
    <xf numFmtId="0" fontId="61" fillId="0" borderId="2" xfId="3" applyFont="1" applyBorder="1" applyAlignment="1">
      <alignment horizontal="center"/>
    </xf>
    <xf numFmtId="0" fontId="61" fillId="0" borderId="2" xfId="3" applyFont="1" applyBorder="1" applyAlignment="1">
      <alignment horizontal="left"/>
    </xf>
    <xf numFmtId="0" fontId="61" fillId="0" borderId="7" xfId="3" applyFont="1" applyBorder="1" applyAlignment="1">
      <alignment horizontal="left"/>
    </xf>
    <xf numFmtId="0" fontId="61" fillId="0" borderId="0" xfId="3" applyFont="1" applyBorder="1" applyAlignment="1">
      <alignment horizontal="left"/>
    </xf>
    <xf numFmtId="0" fontId="61" fillId="0" borderId="5" xfId="3" applyFont="1" applyBorder="1"/>
    <xf numFmtId="0" fontId="61" fillId="0" borderId="7" xfId="3" applyFont="1" applyBorder="1"/>
    <xf numFmtId="0" fontId="27" fillId="0" borderId="8" xfId="3" applyFont="1" applyBorder="1"/>
    <xf numFmtId="0" fontId="27" fillId="0" borderId="0" xfId="3" applyFont="1" applyAlignment="1">
      <alignment horizontal="center"/>
    </xf>
    <xf numFmtId="0" fontId="61" fillId="0" borderId="0" xfId="3" applyFont="1" applyAlignment="1">
      <alignment horizontal="center"/>
    </xf>
    <xf numFmtId="2" fontId="61" fillId="0" borderId="0" xfId="0" applyNumberFormat="1" applyFont="1" applyFill="1" applyBorder="1" applyAlignment="1">
      <alignment horizontal="center"/>
    </xf>
    <xf numFmtId="0" fontId="61" fillId="0" borderId="9" xfId="3" applyFont="1" applyBorder="1" applyAlignment="1">
      <alignment horizontal="left"/>
    </xf>
    <xf numFmtId="0" fontId="61" fillId="0" borderId="8" xfId="3" applyFont="1" applyBorder="1" applyAlignment="1">
      <alignment horizontal="left"/>
    </xf>
    <xf numFmtId="0" fontId="61" fillId="13" borderId="47" xfId="3" applyFont="1" applyFill="1" applyBorder="1" applyAlignment="1">
      <alignment horizontal="left"/>
    </xf>
    <xf numFmtId="0" fontId="61" fillId="0" borderId="0" xfId="0" applyFont="1" applyFill="1" applyBorder="1" applyAlignment="1">
      <alignment horizontal="center"/>
    </xf>
    <xf numFmtId="9" fontId="61" fillId="13" borderId="58" xfId="2" applyFont="1" applyFill="1" applyBorder="1" applyAlignment="1">
      <alignment horizontal="left"/>
    </xf>
    <xf numFmtId="0" fontId="64" fillId="0" borderId="8" xfId="3" applyFont="1" applyBorder="1" applyAlignment="1">
      <alignment horizontal="center"/>
    </xf>
    <xf numFmtId="0" fontId="64" fillId="0" borderId="0" xfId="0" applyFont="1" applyBorder="1" applyAlignment="1">
      <alignment horizontal="right"/>
    </xf>
    <xf numFmtId="0" fontId="61" fillId="0" borderId="6" xfId="3" applyFont="1" applyBorder="1" applyAlignment="1">
      <alignment horizontal="left"/>
    </xf>
    <xf numFmtId="0" fontId="61" fillId="13" borderId="59" xfId="3" applyFont="1" applyFill="1" applyBorder="1" applyAlignment="1">
      <alignment horizontal="left"/>
    </xf>
    <xf numFmtId="2" fontId="27" fillId="0" borderId="8" xfId="3" applyNumberFormat="1" applyFont="1" applyBorder="1" applyAlignment="1">
      <alignment horizontal="left"/>
    </xf>
    <xf numFmtId="165" fontId="27" fillId="0" borderId="0" xfId="3" applyNumberFormat="1" applyFont="1" applyFill="1" applyBorder="1" applyAlignment="1">
      <alignment horizontal="center"/>
    </xf>
    <xf numFmtId="2" fontId="35" fillId="0" borderId="9" xfId="3" applyNumberFormat="1" applyFont="1" applyBorder="1" applyAlignment="1">
      <alignment horizontal="center"/>
    </xf>
    <xf numFmtId="2" fontId="61" fillId="0" borderId="8" xfId="3" applyNumberFormat="1" applyFont="1" applyBorder="1" applyAlignment="1">
      <alignment horizontal="left"/>
    </xf>
    <xf numFmtId="2" fontId="97" fillId="0" borderId="9" xfId="3" applyNumberFormat="1" applyFont="1" applyBorder="1" applyAlignment="1">
      <alignment horizontal="center"/>
    </xf>
    <xf numFmtId="2" fontId="97" fillId="0" borderId="0" xfId="3" applyNumberFormat="1" applyFont="1" applyBorder="1" applyAlignment="1">
      <alignment horizontal="center"/>
    </xf>
    <xf numFmtId="0" fontId="27" fillId="0" borderId="8" xfId="3" applyFont="1" applyBorder="1" applyAlignment="1">
      <alignment horizontal="left"/>
    </xf>
    <xf numFmtId="1" fontId="27" fillId="0" borderId="9" xfId="2" applyNumberFormat="1" applyFont="1" applyBorder="1" applyAlignment="1">
      <alignment horizontal="right"/>
    </xf>
    <xf numFmtId="1" fontId="61" fillId="0" borderId="0" xfId="2" applyNumberFormat="1" applyFont="1" applyFill="1" applyBorder="1" applyAlignment="1">
      <alignment horizontal="center"/>
    </xf>
    <xf numFmtId="1" fontId="61" fillId="0" borderId="9" xfId="2" applyNumberFormat="1" applyFont="1" applyBorder="1" applyAlignment="1">
      <alignment horizontal="right"/>
    </xf>
    <xf numFmtId="1" fontId="61" fillId="0" borderId="0" xfId="2" applyNumberFormat="1" applyFont="1" applyBorder="1" applyAlignment="1">
      <alignment horizontal="right"/>
    </xf>
    <xf numFmtId="0" fontId="98" fillId="0" borderId="8" xfId="3" applyFont="1" applyBorder="1" applyAlignment="1">
      <alignment horizontal="left"/>
    </xf>
    <xf numFmtId="0" fontId="61" fillId="0" borderId="0" xfId="0" applyFont="1" applyFill="1" applyBorder="1"/>
    <xf numFmtId="2" fontId="24" fillId="0" borderId="0" xfId="3" applyNumberFormat="1" applyFont="1" applyBorder="1" applyAlignment="1">
      <alignment horizontal="center"/>
    </xf>
    <xf numFmtId="1" fontId="24" fillId="0" borderId="0" xfId="3" applyNumberFormat="1" applyFont="1" applyBorder="1" applyAlignment="1">
      <alignment horizontal="center"/>
    </xf>
    <xf numFmtId="1" fontId="27" fillId="0" borderId="0" xfId="3" applyNumberFormat="1" applyFont="1" applyFill="1" applyBorder="1" applyAlignment="1">
      <alignment horizontal="center"/>
    </xf>
    <xf numFmtId="0" fontId="27" fillId="0" borderId="8" xfId="3" applyFont="1" applyFill="1" applyBorder="1" applyAlignment="1">
      <alignment horizontal="left"/>
    </xf>
    <xf numFmtId="3" fontId="24" fillId="0" borderId="0" xfId="3" applyNumberFormat="1" applyFont="1" applyBorder="1" applyAlignment="1">
      <alignment horizontal="center"/>
    </xf>
    <xf numFmtId="3" fontId="27" fillId="0" borderId="0" xfId="3" applyNumberFormat="1" applyFont="1" applyFill="1" applyBorder="1" applyAlignment="1">
      <alignment horizontal="center"/>
    </xf>
    <xf numFmtId="0" fontId="27" fillId="0" borderId="9" xfId="3" applyFont="1" applyBorder="1"/>
    <xf numFmtId="0" fontId="61" fillId="0" borderId="8" xfId="3" applyFont="1" applyFill="1" applyBorder="1" applyAlignment="1">
      <alignment horizontal="left"/>
    </xf>
    <xf numFmtId="3" fontId="61" fillId="0" borderId="0" xfId="0" applyNumberFormat="1" applyFont="1" applyFill="1" applyBorder="1" applyAlignment="1">
      <alignment horizontal="center"/>
    </xf>
    <xf numFmtId="0" fontId="61" fillId="0" borderId="0" xfId="3" applyFont="1" applyBorder="1" applyAlignment="1">
      <alignment horizontal="center"/>
    </xf>
    <xf numFmtId="0" fontId="24" fillId="0" borderId="8" xfId="3" applyFont="1" applyBorder="1" applyAlignment="1">
      <alignment horizontal="left"/>
    </xf>
    <xf numFmtId="0" fontId="24" fillId="0" borderId="9" xfId="3" applyFont="1" applyBorder="1"/>
    <xf numFmtId="0" fontId="62" fillId="0" borderId="8" xfId="3" applyFont="1" applyBorder="1" applyAlignment="1">
      <alignment horizontal="left"/>
    </xf>
    <xf numFmtId="0" fontId="62" fillId="0" borderId="9" xfId="3" applyFont="1" applyBorder="1"/>
    <xf numFmtId="0" fontId="62" fillId="0" borderId="0" xfId="3" applyFont="1" applyBorder="1"/>
    <xf numFmtId="2" fontId="24" fillId="6" borderId="26" xfId="3" applyNumberFormat="1" applyFont="1" applyFill="1" applyBorder="1" applyAlignment="1">
      <alignment horizontal="center"/>
    </xf>
    <xf numFmtId="1" fontId="61" fillId="0" borderId="0" xfId="0" applyNumberFormat="1" applyFont="1" applyFill="1" applyBorder="1" applyAlignment="1">
      <alignment horizontal="center"/>
    </xf>
    <xf numFmtId="1" fontId="61" fillId="0" borderId="0" xfId="2" applyNumberFormat="1" applyFont="1" applyBorder="1" applyAlignment="1">
      <alignment horizontal="center"/>
    </xf>
    <xf numFmtId="0" fontId="27" fillId="0" borderId="8" xfId="3" applyFont="1" applyFill="1" applyBorder="1" applyAlignment="1">
      <alignment horizontal="left" wrapText="1"/>
    </xf>
    <xf numFmtId="3" fontId="24" fillId="0" borderId="0" xfId="1" applyNumberFormat="1" applyFont="1" applyBorder="1" applyAlignment="1">
      <alignment horizontal="center"/>
    </xf>
    <xf numFmtId="3" fontId="27" fillId="0" borderId="0" xfId="1" applyNumberFormat="1" applyFont="1" applyFill="1" applyBorder="1" applyAlignment="1">
      <alignment horizontal="center"/>
    </xf>
    <xf numFmtId="0" fontId="62" fillId="0" borderId="8" xfId="3" applyFont="1" applyFill="1" applyBorder="1" applyAlignment="1">
      <alignment horizontal="left"/>
    </xf>
    <xf numFmtId="0" fontId="62" fillId="0" borderId="8" xfId="3" applyFont="1" applyBorder="1"/>
    <xf numFmtId="0" fontId="27" fillId="0" borderId="9" xfId="3" applyFont="1" applyBorder="1" applyAlignment="1">
      <alignment horizontal="center"/>
    </xf>
    <xf numFmtId="167" fontId="61" fillId="0" borderId="0" xfId="0" applyNumberFormat="1" applyFont="1" applyFill="1" applyBorder="1" applyAlignment="1">
      <alignment horizontal="center"/>
    </xf>
    <xf numFmtId="0" fontId="61" fillId="0" borderId="9" xfId="3" applyFont="1" applyBorder="1" applyAlignment="1">
      <alignment horizontal="center"/>
    </xf>
    <xf numFmtId="0" fontId="27" fillId="0" borderId="0" xfId="3" applyFont="1" applyBorder="1"/>
    <xf numFmtId="166" fontId="61" fillId="0" borderId="0" xfId="0" applyNumberFormat="1" applyFont="1" applyFill="1" applyBorder="1" applyAlignment="1">
      <alignment horizontal="center"/>
    </xf>
    <xf numFmtId="0" fontId="61" fillId="0" borderId="0" xfId="0" applyFont="1" applyBorder="1" applyAlignment="1">
      <alignment horizontal="center"/>
    </xf>
    <xf numFmtId="176" fontId="24" fillId="0" borderId="0" xfId="3" applyNumberFormat="1" applyFont="1" applyBorder="1" applyAlignment="1">
      <alignment horizontal="center"/>
    </xf>
    <xf numFmtId="0" fontId="35" fillId="0" borderId="0" xfId="3" applyFont="1" applyBorder="1"/>
    <xf numFmtId="168" fontId="61" fillId="0" borderId="0" xfId="0" applyNumberFormat="1" applyFont="1" applyFill="1" applyBorder="1" applyAlignment="1">
      <alignment horizontal="center"/>
    </xf>
    <xf numFmtId="0" fontId="61" fillId="0" borderId="0" xfId="3" applyFont="1" applyFill="1" applyBorder="1" applyAlignment="1">
      <alignment horizontal="center"/>
    </xf>
    <xf numFmtId="0" fontId="61" fillId="0" borderId="9" xfId="3" applyFont="1" applyFill="1" applyBorder="1"/>
    <xf numFmtId="0" fontId="61" fillId="0" borderId="0" xfId="3" applyFont="1" applyFill="1" applyBorder="1"/>
    <xf numFmtId="0" fontId="61" fillId="0" borderId="0" xfId="3" applyFont="1" applyFill="1"/>
    <xf numFmtId="0" fontId="35" fillId="0" borderId="9" xfId="3" applyFont="1" applyBorder="1"/>
    <xf numFmtId="0" fontId="97" fillId="0" borderId="0" xfId="3" applyFont="1" applyBorder="1" applyAlignment="1">
      <alignment horizontal="center"/>
    </xf>
    <xf numFmtId="0" fontId="97" fillId="0" borderId="9" xfId="3" applyFont="1" applyBorder="1"/>
    <xf numFmtId="0" fontId="97" fillId="0" borderId="0" xfId="3" applyFont="1" applyBorder="1"/>
    <xf numFmtId="0" fontId="61" fillId="0" borderId="8" xfId="0" applyFont="1" applyBorder="1"/>
    <xf numFmtId="0" fontId="61" fillId="0" borderId="0" xfId="0" applyFont="1" applyBorder="1"/>
    <xf numFmtId="0" fontId="61" fillId="0" borderId="9" xfId="0" applyFont="1" applyBorder="1"/>
    <xf numFmtId="0" fontId="96" fillId="0" borderId="8" xfId="3" applyFont="1" applyFill="1" applyBorder="1" applyAlignment="1"/>
    <xf numFmtId="165" fontId="27" fillId="12" borderId="0" xfId="0" applyNumberFormat="1" applyFont="1" applyFill="1" applyBorder="1" applyAlignment="1">
      <alignment horizontal="center"/>
    </xf>
    <xf numFmtId="165" fontId="24" fillId="12" borderId="0" xfId="3" applyNumberFormat="1" applyFont="1" applyFill="1" applyBorder="1" applyAlignment="1">
      <alignment horizontal="center"/>
    </xf>
    <xf numFmtId="0" fontId="27" fillId="0" borderId="0" xfId="3" applyFont="1" applyAlignment="1">
      <alignment horizontal="left"/>
    </xf>
    <xf numFmtId="165" fontId="61" fillId="0" borderId="0" xfId="0" applyNumberFormat="1" applyFont="1" applyFill="1" applyBorder="1" applyAlignment="1">
      <alignment horizontal="center"/>
    </xf>
    <xf numFmtId="0" fontId="104" fillId="0" borderId="9" xfId="3" applyFont="1" applyBorder="1"/>
    <xf numFmtId="0" fontId="85" fillId="0" borderId="0" xfId="3" applyFont="1" applyBorder="1" applyAlignment="1">
      <alignment horizontal="center"/>
    </xf>
    <xf numFmtId="0" fontId="85" fillId="0" borderId="9" xfId="3" applyFont="1" applyBorder="1"/>
    <xf numFmtId="0" fontId="85" fillId="0" borderId="0" xfId="3" applyFont="1" applyBorder="1"/>
    <xf numFmtId="0" fontId="24" fillId="0" borderId="8" xfId="3" applyFont="1" applyBorder="1"/>
    <xf numFmtId="166" fontId="24" fillId="0" borderId="0" xfId="3" applyNumberFormat="1" applyFont="1" applyBorder="1" applyAlignment="1">
      <alignment horizontal="center"/>
    </xf>
    <xf numFmtId="166" fontId="27" fillId="0" borderId="0" xfId="3" applyNumberFormat="1" applyFont="1" applyFill="1" applyBorder="1" applyAlignment="1">
      <alignment horizontal="center"/>
    </xf>
    <xf numFmtId="0" fontId="27" fillId="0" borderId="0" xfId="3" applyFont="1" applyBorder="1" applyAlignment="1">
      <alignment horizontal="center"/>
    </xf>
    <xf numFmtId="0" fontId="27" fillId="0" borderId="0" xfId="3" applyFont="1" applyBorder="1" applyAlignment="1"/>
    <xf numFmtId="0" fontId="27" fillId="0" borderId="9" xfId="3" applyFont="1" applyFill="1" applyBorder="1"/>
    <xf numFmtId="0" fontId="61" fillId="0" borderId="0" xfId="3" applyFont="1" applyBorder="1" applyAlignment="1"/>
    <xf numFmtId="0" fontId="27" fillId="0" borderId="9" xfId="3" applyFont="1" applyFill="1" applyBorder="1" applyAlignment="1">
      <alignment horizontal="center"/>
    </xf>
    <xf numFmtId="0" fontId="62" fillId="0" borderId="0" xfId="0" applyFont="1" applyBorder="1" applyAlignment="1">
      <alignment horizontal="center"/>
    </xf>
    <xf numFmtId="0" fontId="61" fillId="0" borderId="9" xfId="3" applyFont="1" applyFill="1" applyBorder="1" applyAlignment="1">
      <alignment horizontal="center"/>
    </xf>
    <xf numFmtId="1" fontId="105" fillId="0" borderId="9" xfId="3" applyNumberFormat="1" applyFont="1" applyFill="1" applyBorder="1" applyAlignment="1">
      <alignment horizontal="right"/>
    </xf>
    <xf numFmtId="1" fontId="106" fillId="0" borderId="9" xfId="3" applyNumberFormat="1" applyFont="1" applyFill="1" applyBorder="1" applyAlignment="1">
      <alignment horizontal="right"/>
    </xf>
    <xf numFmtId="183" fontId="24" fillId="0" borderId="0" xfId="8" applyNumberFormat="1" applyFont="1" applyBorder="1" applyAlignment="1">
      <alignment horizontal="center"/>
    </xf>
    <xf numFmtId="183" fontId="27" fillId="0" borderId="0" xfId="8" applyNumberFormat="1" applyFont="1" applyFill="1" applyBorder="1" applyAlignment="1">
      <alignment horizontal="center" vertical="center"/>
    </xf>
    <xf numFmtId="2" fontId="61" fillId="0" borderId="0" xfId="0" applyNumberFormat="1" applyFont="1" applyFill="1" applyBorder="1"/>
    <xf numFmtId="0" fontId="27" fillId="0" borderId="9" xfId="3" applyFont="1" applyFill="1" applyBorder="1" applyAlignment="1">
      <alignment horizontal="right"/>
    </xf>
    <xf numFmtId="0" fontId="61" fillId="0" borderId="9" xfId="3" applyFont="1" applyFill="1" applyBorder="1" applyAlignment="1">
      <alignment horizontal="right"/>
    </xf>
    <xf numFmtId="2" fontId="105" fillId="0" borderId="9" xfId="3" applyNumberFormat="1" applyFont="1" applyFill="1" applyBorder="1" applyAlignment="1">
      <alignment horizontal="right"/>
    </xf>
    <xf numFmtId="2" fontId="106" fillId="0" borderId="9" xfId="3" applyNumberFormat="1" applyFont="1" applyFill="1" applyBorder="1" applyAlignment="1">
      <alignment horizontal="right"/>
    </xf>
    <xf numFmtId="2" fontId="27" fillId="0" borderId="9" xfId="3" applyNumberFormat="1" applyFont="1" applyFill="1" applyBorder="1" applyAlignment="1">
      <alignment horizontal="right"/>
    </xf>
    <xf numFmtId="2" fontId="61" fillId="0" borderId="9" xfId="3" applyNumberFormat="1" applyFont="1" applyFill="1" applyBorder="1" applyAlignment="1">
      <alignment horizontal="right"/>
    </xf>
    <xf numFmtId="0" fontId="93" fillId="0" borderId="8" xfId="3" applyFont="1" applyBorder="1"/>
    <xf numFmtId="0" fontId="27" fillId="0" borderId="8" xfId="0" applyFont="1" applyBorder="1"/>
    <xf numFmtId="0" fontId="27" fillId="0" borderId="9" xfId="0" applyFont="1" applyBorder="1"/>
    <xf numFmtId="0" fontId="27" fillId="0" borderId="6" xfId="3" applyFont="1" applyBorder="1"/>
    <xf numFmtId="0" fontId="27" fillId="0" borderId="3" xfId="3" applyFont="1" applyBorder="1"/>
    <xf numFmtId="0" fontId="27" fillId="0" borderId="4" xfId="3" applyFont="1" applyBorder="1"/>
    <xf numFmtId="0" fontId="61" fillId="0" borderId="6" xfId="3" applyFont="1" applyBorder="1"/>
    <xf numFmtId="0" fontId="61" fillId="0" borderId="3" xfId="3" applyFont="1" applyBorder="1"/>
    <xf numFmtId="0" fontId="61" fillId="0" borderId="4" xfId="3" applyFont="1" applyBorder="1"/>
    <xf numFmtId="0" fontId="61" fillId="0" borderId="0" xfId="3" applyFont="1" applyAlignment="1"/>
    <xf numFmtId="0" fontId="4" fillId="6" borderId="26" xfId="0" applyFont="1" applyFill="1" applyBorder="1" applyAlignment="1">
      <alignment wrapText="1"/>
    </xf>
    <xf numFmtId="0" fontId="4" fillId="16" borderId="13" xfId="3" applyFont="1" applyFill="1" applyBorder="1" applyAlignment="1">
      <alignment vertical="center"/>
    </xf>
    <xf numFmtId="0" fontId="4" fillId="16" borderId="15" xfId="3" applyFont="1" applyFill="1" applyBorder="1" applyAlignment="1">
      <alignment vertical="center"/>
    </xf>
    <xf numFmtId="0" fontId="4" fillId="16" borderId="14" xfId="3" applyFont="1" applyFill="1" applyBorder="1" applyAlignment="1">
      <alignment vertical="center"/>
    </xf>
    <xf numFmtId="0" fontId="4" fillId="13" borderId="53" xfId="0" applyFont="1" applyFill="1" applyBorder="1" applyAlignment="1">
      <alignment wrapText="1"/>
    </xf>
    <xf numFmtId="0" fontId="4" fillId="0" borderId="13" xfId="3" applyFont="1" applyBorder="1" applyAlignment="1">
      <alignment horizontal="left" vertical="center"/>
    </xf>
    <xf numFmtId="0" fontId="4" fillId="12" borderId="24" xfId="3" applyFont="1" applyFill="1" applyBorder="1" applyAlignment="1">
      <alignment horizontal="center" vertical="center"/>
    </xf>
    <xf numFmtId="0" fontId="4" fillId="0" borderId="24" xfId="3" applyFont="1" applyBorder="1" applyAlignment="1">
      <alignment horizontal="center" vertical="center"/>
    </xf>
    <xf numFmtId="0" fontId="4" fillId="12" borderId="13" xfId="3" applyFont="1" applyFill="1" applyBorder="1" applyAlignment="1">
      <alignment vertical="center"/>
    </xf>
    <xf numFmtId="0" fontId="4" fillId="12" borderId="14" xfId="3" applyFont="1" applyFill="1" applyBorder="1" applyAlignment="1">
      <alignment vertical="center"/>
    </xf>
    <xf numFmtId="0" fontId="4" fillId="0" borderId="24" xfId="3" applyFont="1" applyBorder="1" applyAlignment="1">
      <alignment horizontal="left" vertical="center"/>
    </xf>
    <xf numFmtId="0" fontId="4" fillId="0" borderId="24" xfId="3" applyFont="1" applyBorder="1" applyAlignment="1">
      <alignment vertical="center"/>
    </xf>
    <xf numFmtId="0" fontId="4" fillId="0" borderId="24" xfId="3" applyFont="1" applyBorder="1" applyAlignment="1">
      <alignment horizontal="center" vertical="center" wrapText="1"/>
    </xf>
    <xf numFmtId="0" fontId="4" fillId="0" borderId="8" xfId="3" applyFont="1" applyFill="1" applyBorder="1" applyAlignment="1">
      <alignment horizontal="left"/>
    </xf>
    <xf numFmtId="0" fontId="4" fillId="0" borderId="8" xfId="3" applyFont="1" applyBorder="1" applyAlignment="1">
      <alignment horizontal="left"/>
    </xf>
    <xf numFmtId="0" fontId="4" fillId="0" borderId="0" xfId="0" applyFont="1" applyAlignment="1">
      <alignment horizontal="center"/>
    </xf>
    <xf numFmtId="0" fontId="3" fillId="12" borderId="0" xfId="0" applyFont="1" applyFill="1" applyAlignment="1">
      <alignment horizontal="center"/>
    </xf>
    <xf numFmtId="0" fontId="3" fillId="0" borderId="3" xfId="0" applyFont="1" applyFill="1" applyBorder="1"/>
    <xf numFmtId="0" fontId="3" fillId="0" borderId="0" xfId="0" applyFont="1" applyAlignment="1">
      <alignment horizontal="right"/>
    </xf>
    <xf numFmtId="43" fontId="3" fillId="0" borderId="0" xfId="1" applyFont="1" applyFill="1" applyBorder="1" applyAlignment="1">
      <alignment horizontal="center"/>
    </xf>
    <xf numFmtId="43" fontId="3" fillId="0" borderId="0" xfId="0" applyNumberFormat="1" applyFont="1" applyFill="1" applyBorder="1"/>
    <xf numFmtId="1" fontId="3" fillId="0" borderId="0" xfId="2" applyNumberFormat="1" applyFont="1" applyAlignment="1">
      <alignment horizontal="right"/>
    </xf>
    <xf numFmtId="1" fontId="3" fillId="12" borderId="0" xfId="2" applyNumberFormat="1" applyFont="1" applyFill="1" applyAlignment="1">
      <alignment horizontal="center"/>
    </xf>
    <xf numFmtId="43" fontId="3" fillId="0" borderId="1" xfId="0" applyNumberFormat="1" applyFont="1" applyBorder="1"/>
    <xf numFmtId="43" fontId="3" fillId="0" borderId="0" xfId="1" applyFont="1"/>
    <xf numFmtId="43" fontId="3" fillId="0" borderId="0" xfId="1" applyFont="1" applyFill="1" applyBorder="1"/>
    <xf numFmtId="170" fontId="3" fillId="13" borderId="0" xfId="1" applyNumberFormat="1" applyFont="1" applyFill="1" applyAlignment="1"/>
    <xf numFmtId="170" fontId="3" fillId="0" borderId="0" xfId="1" applyNumberFormat="1" applyFont="1" applyFill="1"/>
    <xf numFmtId="43" fontId="3" fillId="6" borderId="0" xfId="1" applyFont="1" applyFill="1" applyAlignment="1"/>
    <xf numFmtId="170" fontId="3" fillId="6" borderId="0" xfId="1" applyNumberFormat="1" applyFont="1" applyFill="1" applyAlignment="1"/>
    <xf numFmtId="1" fontId="3" fillId="0" borderId="0" xfId="0" applyNumberFormat="1" applyFont="1"/>
    <xf numFmtId="166" fontId="3" fillId="12" borderId="0" xfId="0" applyNumberFormat="1" applyFont="1" applyFill="1" applyAlignment="1">
      <alignment horizontal="center"/>
    </xf>
    <xf numFmtId="2" fontId="3" fillId="0" borderId="0" xfId="0" applyNumberFormat="1" applyFont="1"/>
    <xf numFmtId="165" fontId="3" fillId="12" borderId="0" xfId="0" applyNumberFormat="1" applyFont="1" applyFill="1" applyAlignment="1">
      <alignment horizontal="center"/>
    </xf>
    <xf numFmtId="1" fontId="27" fillId="5" borderId="0" xfId="6" applyNumberFormat="1" applyFont="1" applyFill="1" applyAlignment="1">
      <alignment horizontal="center"/>
    </xf>
    <xf numFmtId="1" fontId="27" fillId="0" borderId="0" xfId="6" applyNumberFormat="1" applyFont="1" applyFill="1" applyAlignment="1">
      <alignment horizontal="center"/>
    </xf>
    <xf numFmtId="43" fontId="3" fillId="0" borderId="0" xfId="0" applyNumberFormat="1" applyFont="1" applyFill="1" applyBorder="1" applyAlignment="1">
      <alignment horizontal="center"/>
    </xf>
    <xf numFmtId="0" fontId="15" fillId="0" borderId="0" xfId="0" applyFont="1" applyAlignment="1">
      <alignment horizontal="center"/>
    </xf>
    <xf numFmtId="1" fontId="3" fillId="12" borderId="0" xfId="0" applyNumberFormat="1" applyFont="1" applyFill="1" applyAlignment="1">
      <alignment horizontal="center"/>
    </xf>
    <xf numFmtId="1" fontId="3" fillId="6" borderId="0" xfId="0" applyNumberFormat="1" applyFont="1" applyFill="1" applyAlignment="1">
      <alignment horizontal="center"/>
    </xf>
    <xf numFmtId="166" fontId="3" fillId="0" borderId="0" xfId="1" applyNumberFormat="1" applyFont="1" applyAlignment="1">
      <alignment horizontal="center"/>
    </xf>
    <xf numFmtId="175" fontId="3" fillId="0" borderId="0" xfId="0" applyNumberFormat="1" applyFont="1" applyFill="1" applyAlignment="1">
      <alignment horizontal="center"/>
    </xf>
    <xf numFmtId="164" fontId="3" fillId="0" borderId="0" xfId="0" applyNumberFormat="1" applyFont="1" applyFill="1" applyAlignment="1">
      <alignment horizontal="center"/>
    </xf>
    <xf numFmtId="4" fontId="3" fillId="0" borderId="0" xfId="0" applyNumberFormat="1" applyFont="1" applyAlignment="1">
      <alignment horizontal="center"/>
    </xf>
    <xf numFmtId="1" fontId="3" fillId="0" borderId="0" xfId="1" applyNumberFormat="1" applyFont="1" applyAlignment="1">
      <alignment horizontal="right"/>
    </xf>
    <xf numFmtId="1" fontId="3" fillId="0" borderId="0" xfId="1" applyNumberFormat="1" applyFont="1" applyFill="1" applyBorder="1" applyAlignment="1">
      <alignment horizontal="right"/>
    </xf>
    <xf numFmtId="1" fontId="3" fillId="0" borderId="0" xfId="1" applyNumberFormat="1" applyFont="1" applyAlignment="1">
      <alignment horizontal="center"/>
    </xf>
    <xf numFmtId="1" fontId="3" fillId="0" borderId="0" xfId="1" applyNumberFormat="1" applyFont="1" applyFill="1" applyBorder="1" applyAlignment="1">
      <alignment horizontal="center"/>
    </xf>
    <xf numFmtId="177" fontId="3" fillId="0" borderId="0" xfId="0" applyNumberFormat="1" applyFont="1" applyAlignment="1">
      <alignment horizontal="center"/>
    </xf>
    <xf numFmtId="177" fontId="3" fillId="0" borderId="0" xfId="0" applyNumberFormat="1" applyFont="1" applyFill="1" applyBorder="1" applyAlignment="1">
      <alignment horizontal="center"/>
    </xf>
    <xf numFmtId="178" fontId="3" fillId="0" borderId="0" xfId="0" applyNumberFormat="1" applyFont="1" applyAlignment="1">
      <alignment horizontal="center"/>
    </xf>
    <xf numFmtId="178" fontId="3" fillId="0" borderId="0" xfId="0" applyNumberFormat="1" applyFont="1" applyFill="1" applyBorder="1" applyAlignment="1">
      <alignment horizontal="center"/>
    </xf>
    <xf numFmtId="164" fontId="3" fillId="6" borderId="0" xfId="0" applyNumberFormat="1" applyFont="1" applyFill="1" applyAlignment="1">
      <alignment horizontal="center"/>
    </xf>
    <xf numFmtId="168" fontId="3" fillId="0" borderId="0" xfId="0" applyNumberFormat="1" applyFont="1" applyAlignment="1">
      <alignment horizontal="center"/>
    </xf>
    <xf numFmtId="168" fontId="3" fillId="0" borderId="0" xfId="0" applyNumberFormat="1" applyFont="1" applyFill="1" applyBorder="1" applyAlignment="1">
      <alignment horizontal="center"/>
    </xf>
    <xf numFmtId="176" fontId="3" fillId="0" borderId="0" xfId="0" applyNumberFormat="1" applyFont="1" applyFill="1" applyAlignment="1">
      <alignment horizontal="center"/>
    </xf>
    <xf numFmtId="176" fontId="3" fillId="0" borderId="0" xfId="0" applyNumberFormat="1" applyFont="1" applyAlignment="1">
      <alignment horizontal="center"/>
    </xf>
    <xf numFmtId="165" fontId="3" fillId="0" borderId="0" xfId="0" applyNumberFormat="1" applyFont="1" applyAlignment="1">
      <alignment horizontal="right"/>
    </xf>
    <xf numFmtId="1" fontId="3" fillId="0" borderId="0" xfId="0" applyNumberFormat="1" applyFont="1" applyAlignment="1">
      <alignment horizontal="right"/>
    </xf>
    <xf numFmtId="188" fontId="3" fillId="0" borderId="0" xfId="0" applyNumberFormat="1" applyFont="1" applyAlignment="1">
      <alignment horizontal="right"/>
    </xf>
    <xf numFmtId="182" fontId="3" fillId="0" borderId="0" xfId="2" applyNumberFormat="1" applyFont="1" applyBorder="1" applyAlignment="1">
      <alignment horizontal="center"/>
    </xf>
    <xf numFmtId="165" fontId="3" fillId="0" borderId="0" xfId="0" applyNumberFormat="1" applyFont="1" applyBorder="1"/>
    <xf numFmtId="187" fontId="3" fillId="0" borderId="0" xfId="0" applyNumberFormat="1" applyFont="1" applyAlignment="1">
      <alignment horizontal="center"/>
    </xf>
    <xf numFmtId="188" fontId="3" fillId="0" borderId="0" xfId="0" applyNumberFormat="1" applyFont="1" applyAlignment="1">
      <alignment horizontal="center"/>
    </xf>
    <xf numFmtId="3" fontId="3" fillId="0" borderId="0" xfId="0" applyNumberFormat="1" applyFont="1" applyBorder="1" applyAlignment="1">
      <alignment horizontal="center"/>
    </xf>
    <xf numFmtId="166" fontId="3" fillId="0" borderId="0" xfId="0" applyNumberFormat="1" applyFont="1" applyBorder="1"/>
    <xf numFmtId="0" fontId="3" fillId="0" borderId="0" xfId="0" applyFont="1" applyAlignment="1">
      <alignment wrapText="1"/>
    </xf>
    <xf numFmtId="165" fontId="3" fillId="0" borderId="0" xfId="0" applyNumberFormat="1" applyFont="1" applyFill="1"/>
    <xf numFmtId="164" fontId="28" fillId="0" borderId="0" xfId="0" applyNumberFormat="1" applyFont="1" applyFill="1" applyBorder="1" applyAlignment="1">
      <alignment horizontal="center"/>
    </xf>
    <xf numFmtId="3" fontId="8" fillId="0" borderId="0" xfId="0" applyNumberFormat="1" applyFont="1" applyFill="1" applyBorder="1" applyAlignment="1">
      <alignment horizontal="center"/>
    </xf>
    <xf numFmtId="0" fontId="104" fillId="0" borderId="0" xfId="0" applyFont="1"/>
    <xf numFmtId="0" fontId="3" fillId="0" borderId="0" xfId="0" applyFont="1" applyFill="1" applyAlignment="1">
      <alignment vertical="center"/>
    </xf>
    <xf numFmtId="0" fontId="27" fillId="0" borderId="0" xfId="0" applyFont="1" applyFill="1"/>
    <xf numFmtId="0" fontId="4" fillId="0" borderId="5" xfId="0" applyFont="1" applyBorder="1"/>
    <xf numFmtId="0" fontId="3" fillId="0" borderId="2" xfId="0" applyFont="1" applyBorder="1"/>
    <xf numFmtId="0" fontId="3" fillId="0" borderId="7" xfId="0" applyFont="1" applyBorder="1"/>
    <xf numFmtId="0" fontId="11" fillId="0" borderId="8" xfId="0" applyFont="1" applyBorder="1" applyAlignment="1">
      <alignment horizontal="center"/>
    </xf>
    <xf numFmtId="0" fontId="11" fillId="0" borderId="9" xfId="0" applyFont="1" applyBorder="1" applyAlignment="1">
      <alignment horizontal="center"/>
    </xf>
    <xf numFmtId="0" fontId="68" fillId="0" borderId="44" xfId="0" applyFont="1" applyBorder="1"/>
    <xf numFmtId="0" fontId="11" fillId="0" borderId="8" xfId="0" applyNumberFormat="1" applyFont="1" applyBorder="1" applyAlignment="1">
      <alignment horizontal="left" vertical="top"/>
    </xf>
    <xf numFmtId="0" fontId="11" fillId="0" borderId="0" xfId="0" applyFont="1" applyBorder="1" applyAlignment="1">
      <alignment horizontal="center" vertical="center"/>
    </xf>
    <xf numFmtId="0" fontId="11" fillId="0" borderId="8" xfId="1" quotePrefix="1" applyNumberFormat="1" applyFont="1" applyFill="1" applyBorder="1" applyAlignment="1">
      <alignment horizontal="left" vertical="top"/>
    </xf>
    <xf numFmtId="0" fontId="11" fillId="0" borderId="8" xfId="1" applyNumberFormat="1" applyFont="1" applyFill="1" applyBorder="1" applyAlignment="1">
      <alignment horizontal="left" vertical="top"/>
    </xf>
    <xf numFmtId="0" fontId="3" fillId="0" borderId="0" xfId="0" applyFont="1" applyAlignment="1">
      <alignment horizontal="center" vertical="center"/>
    </xf>
    <xf numFmtId="170" fontId="28" fillId="0" borderId="0" xfId="0" applyNumberFormat="1" applyFont="1"/>
    <xf numFmtId="0" fontId="107" fillId="0" borderId="0" xfId="0" applyFont="1"/>
    <xf numFmtId="0" fontId="3" fillId="0" borderId="8" xfId="0" applyNumberFormat="1" applyFont="1" applyBorder="1" applyAlignment="1">
      <alignment vertical="top"/>
    </xf>
    <xf numFmtId="0" fontId="3" fillId="0" borderId="0" xfId="0" applyFont="1" applyBorder="1" applyAlignment="1">
      <alignment horizontal="center" vertical="center"/>
    </xf>
    <xf numFmtId="0" fontId="3" fillId="0" borderId="9" xfId="0" applyFont="1" applyBorder="1" applyAlignment="1">
      <alignment horizontal="center"/>
    </xf>
    <xf numFmtId="0" fontId="3" fillId="0" borderId="8" xfId="0" applyFont="1" applyBorder="1"/>
    <xf numFmtId="0" fontId="3" fillId="0" borderId="6" xfId="0" quotePrefix="1" applyFont="1" applyBorder="1"/>
    <xf numFmtId="0" fontId="3" fillId="0" borderId="3" xfId="0" applyFont="1" applyBorder="1" applyAlignment="1">
      <alignment horizontal="center" vertical="center"/>
    </xf>
    <xf numFmtId="0" fontId="3" fillId="0" borderId="4" xfId="0" applyFont="1" applyBorder="1" applyAlignment="1">
      <alignment horizontal="center"/>
    </xf>
    <xf numFmtId="169" fontId="3" fillId="0" borderId="0" xfId="1" applyNumberFormat="1" applyFont="1" applyFill="1" applyAlignment="1">
      <alignment vertical="center"/>
    </xf>
    <xf numFmtId="170" fontId="3" fillId="0" borderId="0" xfId="1" applyNumberFormat="1" applyFont="1" applyFill="1" applyAlignment="1">
      <alignment vertical="center"/>
    </xf>
    <xf numFmtId="43" fontId="3" fillId="0" borderId="0" xfId="1" applyFont="1" applyFill="1" applyAlignment="1">
      <alignment vertical="center"/>
    </xf>
    <xf numFmtId="0" fontId="3" fillId="0" borderId="0" xfId="0" applyFont="1" applyFill="1" applyBorder="1" applyAlignment="1">
      <alignment vertical="center"/>
    </xf>
    <xf numFmtId="2" fontId="3" fillId="0" borderId="0" xfId="0" applyNumberFormat="1" applyFont="1" applyFill="1" applyAlignment="1">
      <alignment vertical="center"/>
    </xf>
    <xf numFmtId="1" fontId="3" fillId="0" borderId="0" xfId="0" applyNumberFormat="1" applyFont="1" applyFill="1" applyAlignment="1">
      <alignment vertical="center"/>
    </xf>
    <xf numFmtId="165" fontId="3" fillId="0" borderId="0" xfId="0" applyNumberFormat="1" applyFont="1" applyFill="1" applyAlignment="1">
      <alignment vertical="center"/>
    </xf>
    <xf numFmtId="185" fontId="3" fillId="0" borderId="0" xfId="8" applyNumberFormat="1" applyFont="1" applyFill="1" applyAlignment="1">
      <alignment vertical="center"/>
    </xf>
    <xf numFmtId="184" fontId="3" fillId="0" borderId="0" xfId="8" applyNumberFormat="1" applyFont="1" applyFill="1" applyAlignment="1">
      <alignment vertical="center"/>
    </xf>
    <xf numFmtId="43" fontId="3" fillId="0" borderId="0" xfId="0" applyNumberFormat="1" applyFont="1" applyAlignment="1">
      <alignment horizontal="center"/>
    </xf>
    <xf numFmtId="169" fontId="3" fillId="0" borderId="0" xfId="0" applyNumberFormat="1" applyFont="1" applyAlignment="1">
      <alignment horizontal="center"/>
    </xf>
    <xf numFmtId="169" fontId="3" fillId="0" borderId="0" xfId="1" applyNumberFormat="1" applyFont="1" applyFill="1" applyAlignment="1">
      <alignment horizontal="right"/>
    </xf>
    <xf numFmtId="0" fontId="3" fillId="0" borderId="0" xfId="0" applyFont="1" applyFill="1" applyAlignment="1">
      <alignment horizontal="left" vertical="center"/>
    </xf>
    <xf numFmtId="1" fontId="3" fillId="0" borderId="0" xfId="0" applyNumberFormat="1" applyFont="1" applyFill="1" applyAlignment="1">
      <alignment horizontal="right" vertical="center"/>
    </xf>
    <xf numFmtId="184" fontId="3" fillId="0" borderId="0" xfId="8" applyNumberFormat="1" applyFont="1" applyFill="1" applyAlignment="1">
      <alignment horizontal="right" vertical="center"/>
    </xf>
    <xf numFmtId="165" fontId="3" fillId="0" borderId="0" xfId="0" applyNumberFormat="1" applyFont="1" applyFill="1" applyAlignment="1">
      <alignment horizontal="right" vertical="center"/>
    </xf>
    <xf numFmtId="2" fontId="3" fillId="0" borderId="0" xfId="0" applyNumberFormat="1" applyFont="1" applyFill="1" applyAlignment="1">
      <alignment horizontal="right" vertical="center"/>
    </xf>
    <xf numFmtId="43" fontId="8" fillId="0" borderId="0" xfId="1" applyFont="1" applyBorder="1" applyAlignment="1">
      <alignment horizontal="left"/>
    </xf>
    <xf numFmtId="170" fontId="3" fillId="0" borderId="0" xfId="0" applyNumberFormat="1" applyFont="1" applyAlignment="1">
      <alignment horizontal="center"/>
    </xf>
    <xf numFmtId="0" fontId="94" fillId="0" borderId="0" xfId="0" applyFont="1" applyAlignment="1">
      <alignment horizontal="left"/>
    </xf>
    <xf numFmtId="0" fontId="12" fillId="0" borderId="0" xfId="0" applyFont="1" applyAlignment="1">
      <alignment horizontal="left"/>
    </xf>
    <xf numFmtId="37" fontId="3" fillId="6" borderId="0" xfId="0" applyNumberFormat="1" applyFont="1" applyFill="1" applyAlignment="1">
      <alignment horizontal="right"/>
    </xf>
    <xf numFmtId="37" fontId="3" fillId="0" borderId="0" xfId="0" applyNumberFormat="1" applyFont="1" applyFill="1" applyAlignment="1">
      <alignment horizontal="right"/>
    </xf>
    <xf numFmtId="170" fontId="3" fillId="0" borderId="0" xfId="0" applyNumberFormat="1" applyFont="1" applyFill="1"/>
    <xf numFmtId="169" fontId="3" fillId="0" borderId="0" xfId="0" applyNumberFormat="1" applyFont="1" applyFill="1"/>
    <xf numFmtId="185" fontId="3" fillId="0" borderId="0" xfId="8" applyNumberFormat="1" applyFont="1" applyFill="1" applyAlignment="1">
      <alignment horizontal="center" vertical="center"/>
    </xf>
    <xf numFmtId="0" fontId="68" fillId="0" borderId="48" xfId="0" applyFont="1" applyBorder="1"/>
    <xf numFmtId="0" fontId="68" fillId="0" borderId="49" xfId="0" applyNumberFormat="1" applyFont="1" applyBorder="1" applyAlignment="1">
      <alignment horizontal="center"/>
    </xf>
    <xf numFmtId="0" fontId="55" fillId="0" borderId="0" xfId="0" applyFont="1" applyBorder="1"/>
    <xf numFmtId="0" fontId="110" fillId="0" borderId="0" xfId="0" applyFont="1"/>
    <xf numFmtId="0" fontId="111" fillId="0" borderId="0" xfId="0" applyFont="1"/>
    <xf numFmtId="0" fontId="111" fillId="0" borderId="0" xfId="0" applyFont="1" applyAlignment="1">
      <alignment horizontal="center"/>
    </xf>
    <xf numFmtId="0" fontId="111" fillId="0" borderId="0" xfId="0" applyFont="1" applyBorder="1" applyAlignment="1">
      <alignment horizontal="center"/>
    </xf>
    <xf numFmtId="169" fontId="111" fillId="0" borderId="0" xfId="1" applyNumberFormat="1" applyFont="1" applyAlignment="1">
      <alignment horizontal="right"/>
    </xf>
    <xf numFmtId="170" fontId="111" fillId="0" borderId="0" xfId="1" applyNumberFormat="1" applyFont="1" applyAlignment="1">
      <alignment horizontal="right"/>
    </xf>
    <xf numFmtId="170" fontId="111" fillId="0" borderId="0" xfId="1" applyNumberFormat="1" applyFont="1"/>
    <xf numFmtId="0" fontId="112" fillId="0" borderId="0" xfId="0" applyFont="1"/>
    <xf numFmtId="170" fontId="111" fillId="0" borderId="0" xfId="1" applyNumberFormat="1" applyFont="1" applyBorder="1" applyAlignment="1">
      <alignment horizontal="center"/>
    </xf>
    <xf numFmtId="2" fontId="111" fillId="0" borderId="0" xfId="0" applyNumberFormat="1" applyFont="1" applyAlignment="1">
      <alignment horizontal="center"/>
    </xf>
    <xf numFmtId="0" fontId="114" fillId="0" borderId="0" xfId="0" applyFont="1"/>
    <xf numFmtId="0" fontId="115" fillId="0" borderId="0" xfId="0" applyFont="1"/>
    <xf numFmtId="0" fontId="116" fillId="0" borderId="0" xfId="0" applyFont="1"/>
    <xf numFmtId="43" fontId="111" fillId="0" borderId="0" xfId="1" applyFont="1" applyBorder="1" applyAlignment="1">
      <alignment horizontal="center"/>
    </xf>
    <xf numFmtId="170" fontId="111" fillId="0" borderId="0" xfId="1" applyNumberFormat="1" applyFont="1" applyBorder="1" applyAlignment="1">
      <alignment horizontal="left"/>
    </xf>
    <xf numFmtId="0" fontId="111" fillId="0" borderId="0" xfId="1" applyNumberFormat="1" applyFont="1" applyBorder="1" applyAlignment="1">
      <alignment horizontal="center"/>
    </xf>
    <xf numFmtId="38" fontId="111" fillId="0" borderId="0" xfId="1" applyNumberFormat="1" applyFont="1"/>
    <xf numFmtId="166" fontId="111" fillId="0" borderId="0" xfId="0" applyNumberFormat="1" applyFont="1" applyAlignment="1">
      <alignment horizontal="center"/>
    </xf>
    <xf numFmtId="38" fontId="111" fillId="0" borderId="0" xfId="0" applyNumberFormat="1" applyFont="1"/>
    <xf numFmtId="38" fontId="111" fillId="0" borderId="0" xfId="1" applyNumberFormat="1" applyFont="1" applyBorder="1" applyAlignment="1">
      <alignment horizontal="center"/>
    </xf>
    <xf numFmtId="170" fontId="111" fillId="0" borderId="0" xfId="0" applyNumberFormat="1" applyFont="1"/>
    <xf numFmtId="170" fontId="111" fillId="0" borderId="0" xfId="0" applyNumberFormat="1" applyFont="1" applyBorder="1"/>
    <xf numFmtId="170" fontId="111" fillId="0" borderId="1" xfId="0" applyNumberFormat="1" applyFont="1" applyBorder="1"/>
    <xf numFmtId="0" fontId="118" fillId="0" borderId="0" xfId="0" applyFont="1"/>
    <xf numFmtId="0" fontId="119" fillId="0" borderId="0" xfId="0" applyFont="1"/>
    <xf numFmtId="0" fontId="119" fillId="0" borderId="0" xfId="0" applyFont="1" applyAlignment="1">
      <alignment horizontal="center"/>
    </xf>
    <xf numFmtId="0" fontId="119" fillId="0" borderId="0" xfId="0" applyFont="1" applyBorder="1" applyAlignment="1">
      <alignment horizontal="center"/>
    </xf>
    <xf numFmtId="169" fontId="119" fillId="0" borderId="0" xfId="1" applyNumberFormat="1" applyFont="1" applyAlignment="1">
      <alignment horizontal="right"/>
    </xf>
    <xf numFmtId="0" fontId="117" fillId="0" borderId="0" xfId="0" applyFont="1"/>
    <xf numFmtId="170" fontId="119" fillId="0" borderId="0" xfId="1" applyNumberFormat="1" applyFont="1" applyBorder="1" applyAlignment="1">
      <alignment horizontal="center"/>
    </xf>
    <xf numFmtId="2" fontId="119" fillId="0" borderId="0" xfId="0" applyNumberFormat="1" applyFont="1" applyAlignment="1">
      <alignment horizontal="center"/>
    </xf>
    <xf numFmtId="0" fontId="120" fillId="0" borderId="0" xfId="0" applyFont="1"/>
    <xf numFmtId="0" fontId="122" fillId="0" borderId="0" xfId="0" applyFont="1"/>
    <xf numFmtId="0" fontId="123" fillId="0" borderId="0" xfId="0" applyFont="1"/>
    <xf numFmtId="43" fontId="119" fillId="0" borderId="0" xfId="1" applyFont="1" applyBorder="1" applyAlignment="1">
      <alignment horizontal="center"/>
    </xf>
    <xf numFmtId="170" fontId="119" fillId="0" borderId="0" xfId="1" applyNumberFormat="1" applyFont="1" applyBorder="1" applyAlignment="1">
      <alignment horizontal="left"/>
    </xf>
    <xf numFmtId="0" fontId="119" fillId="0" borderId="0" xfId="1" applyNumberFormat="1" applyFont="1" applyBorder="1" applyAlignment="1">
      <alignment horizontal="center"/>
    </xf>
    <xf numFmtId="38" fontId="119" fillId="0" borderId="0" xfId="1" applyNumberFormat="1" applyFont="1"/>
    <xf numFmtId="166" fontId="119" fillId="0" borderId="0" xfId="0" applyNumberFormat="1" applyFont="1" applyAlignment="1">
      <alignment horizontal="center"/>
    </xf>
    <xf numFmtId="38" fontId="119" fillId="0" borderId="0" xfId="0" applyNumberFormat="1" applyFont="1"/>
    <xf numFmtId="38" fontId="119" fillId="0" borderId="0" xfId="1" applyNumberFormat="1" applyFont="1" applyBorder="1" applyAlignment="1">
      <alignment horizontal="center"/>
    </xf>
    <xf numFmtId="170" fontId="119" fillId="0" borderId="0" xfId="0" applyNumberFormat="1" applyFont="1"/>
    <xf numFmtId="170" fontId="119" fillId="0" borderId="0" xfId="0" applyNumberFormat="1" applyFont="1" applyBorder="1"/>
    <xf numFmtId="170" fontId="119" fillId="0" borderId="1" xfId="0" applyNumberFormat="1" applyFont="1" applyBorder="1"/>
    <xf numFmtId="0" fontId="8" fillId="0" borderId="26" xfId="0" applyFont="1" applyFill="1" applyBorder="1"/>
    <xf numFmtId="0" fontId="3" fillId="2" borderId="26" xfId="0" applyFont="1" applyFill="1" applyBorder="1"/>
    <xf numFmtId="0" fontId="27" fillId="3" borderId="26" xfId="0" applyFont="1" applyFill="1" applyBorder="1"/>
    <xf numFmtId="2" fontId="0" fillId="0" borderId="0" xfId="8" applyNumberFormat="1" applyFont="1"/>
    <xf numFmtId="2" fontId="0" fillId="0" borderId="0" xfId="8" applyNumberFormat="1" applyFont="1" applyAlignment="1">
      <alignment horizontal="right"/>
    </xf>
    <xf numFmtId="170" fontId="8" fillId="0" borderId="0" xfId="0" applyNumberFormat="1" applyFont="1" applyAlignment="1">
      <alignment horizontal="center"/>
    </xf>
    <xf numFmtId="0" fontId="8" fillId="0" borderId="0" xfId="0" applyFont="1" applyAlignment="1">
      <alignment horizontal="center"/>
    </xf>
    <xf numFmtId="0" fontId="96" fillId="0" borderId="8" xfId="3" applyFont="1" applyBorder="1"/>
    <xf numFmtId="0" fontId="8" fillId="0" borderId="8" xfId="0" applyFont="1" applyBorder="1"/>
    <xf numFmtId="0" fontId="0" fillId="0" borderId="0" xfId="0" applyFill="1" applyBorder="1"/>
    <xf numFmtId="0" fontId="13" fillId="6" borderId="9" xfId="0" applyFont="1" applyFill="1" applyBorder="1" applyAlignment="1">
      <alignment horizontal="center"/>
    </xf>
    <xf numFmtId="0" fontId="126" fillId="0" borderId="8" xfId="3" applyFont="1" applyFill="1" applyBorder="1" applyAlignment="1">
      <alignment horizontal="left"/>
    </xf>
    <xf numFmtId="0" fontId="108" fillId="17" borderId="62" xfId="0" applyFont="1" applyFill="1" applyBorder="1"/>
    <xf numFmtId="0" fontId="108" fillId="17" borderId="63" xfId="0" applyFont="1" applyFill="1" applyBorder="1"/>
    <xf numFmtId="0" fontId="108" fillId="17" borderId="63" xfId="0" applyFont="1" applyFill="1" applyBorder="1" applyAlignment="1">
      <alignment vertical="center"/>
    </xf>
    <xf numFmtId="0" fontId="108" fillId="17" borderId="0" xfId="0" applyFont="1" applyFill="1" applyBorder="1"/>
    <xf numFmtId="0" fontId="108" fillId="17" borderId="0" xfId="0" applyNumberFormat="1" applyFont="1" applyFill="1" applyBorder="1" applyAlignment="1">
      <alignment horizontal="center" vertical="center"/>
    </xf>
    <xf numFmtId="0" fontId="13" fillId="0" borderId="37" xfId="0" applyFont="1" applyBorder="1" applyAlignment="1">
      <alignment horizontal="center"/>
    </xf>
    <xf numFmtId="0" fontId="13" fillId="0" borderId="28" xfId="0" applyFont="1" applyBorder="1" applyAlignment="1">
      <alignment horizontal="center"/>
    </xf>
    <xf numFmtId="0" fontId="13" fillId="0" borderId="38" xfId="0" applyFont="1" applyBorder="1" applyAlignment="1">
      <alignment horizontal="center"/>
    </xf>
    <xf numFmtId="0" fontId="27" fillId="11" borderId="26" xfId="0" applyFont="1" applyFill="1" applyBorder="1" applyAlignment="1">
      <alignment horizontal="center" vertical="center"/>
    </xf>
    <xf numFmtId="0" fontId="3" fillId="11" borderId="26" xfId="0" applyFont="1" applyFill="1" applyBorder="1" applyAlignment="1">
      <alignment horizontal="center" vertical="center"/>
    </xf>
    <xf numFmtId="0" fontId="27" fillId="11" borderId="26" xfId="0" applyNumberFormat="1" applyFont="1" applyFill="1" applyBorder="1" applyAlignment="1">
      <alignment horizontal="center" vertical="center" wrapText="1"/>
    </xf>
    <xf numFmtId="0" fontId="3" fillId="11" borderId="26" xfId="0" applyNumberFormat="1" applyFont="1" applyFill="1" applyBorder="1" applyAlignment="1">
      <alignment horizontal="center" vertical="center" wrapText="1"/>
    </xf>
    <xf numFmtId="0" fontId="27" fillId="11" borderId="26" xfId="0" applyFont="1" applyFill="1" applyBorder="1" applyAlignment="1">
      <alignment horizontal="left" vertical="center" wrapText="1"/>
    </xf>
    <xf numFmtId="0" fontId="3" fillId="11" borderId="26" xfId="0" applyFont="1" applyFill="1" applyBorder="1" applyAlignment="1">
      <alignment horizontal="left" vertical="center" wrapText="1"/>
    </xf>
    <xf numFmtId="169" fontId="3" fillId="0" borderId="0" xfId="0" applyNumberFormat="1" applyFont="1" applyFill="1" applyBorder="1" applyAlignment="1"/>
    <xf numFmtId="0" fontId="11" fillId="0" borderId="26" xfId="0" applyFont="1" applyBorder="1"/>
    <xf numFmtId="9" fontId="3" fillId="0" borderId="0" xfId="0" applyNumberFormat="1" applyFont="1"/>
    <xf numFmtId="0" fontId="19" fillId="0" borderId="0" xfId="0" applyFont="1" applyBorder="1" applyAlignment="1">
      <alignment horizontal="center"/>
    </xf>
    <xf numFmtId="1" fontId="29" fillId="0" borderId="0" xfId="0" applyNumberFormat="1" applyFont="1" applyBorder="1" applyAlignment="1">
      <alignment horizontal="center"/>
    </xf>
    <xf numFmtId="0" fontId="89" fillId="22" borderId="5" xfId="0" applyFont="1" applyFill="1" applyBorder="1" applyAlignment="1">
      <alignment horizontal="center" vertical="center"/>
    </xf>
    <xf numFmtId="0" fontId="89" fillId="22" borderId="2" xfId="0" applyFont="1" applyFill="1" applyBorder="1" applyAlignment="1">
      <alignment horizontal="center" vertical="center"/>
    </xf>
    <xf numFmtId="0" fontId="89" fillId="22" borderId="7" xfId="0" applyFont="1" applyFill="1" applyBorder="1" applyAlignment="1">
      <alignment horizontal="center" vertical="center"/>
    </xf>
    <xf numFmtId="0" fontId="89" fillId="22" borderId="6" xfId="0" applyFont="1" applyFill="1" applyBorder="1" applyAlignment="1">
      <alignment horizontal="center" vertical="center"/>
    </xf>
    <xf numFmtId="0" fontId="89" fillId="22" borderId="3" xfId="0" applyFont="1" applyFill="1" applyBorder="1" applyAlignment="1">
      <alignment horizontal="center" vertical="center"/>
    </xf>
    <xf numFmtId="0" fontId="89" fillId="22" borderId="4" xfId="0" applyFont="1" applyFill="1" applyBorder="1" applyAlignment="1">
      <alignment horizontal="center" vertical="center"/>
    </xf>
    <xf numFmtId="0" fontId="4" fillId="0" borderId="0" xfId="0" applyFont="1" applyBorder="1" applyAlignment="1">
      <alignment horizontal="center" vertical="center" wrapText="1"/>
    </xf>
    <xf numFmtId="0" fontId="70" fillId="20" borderId="5" xfId="0" applyFont="1" applyFill="1" applyBorder="1" applyAlignment="1">
      <alignment horizontal="center"/>
    </xf>
    <xf numFmtId="0" fontId="70" fillId="20" borderId="2" xfId="0" applyFont="1" applyFill="1" applyBorder="1" applyAlignment="1">
      <alignment horizontal="center"/>
    </xf>
    <xf numFmtId="0" fontId="70" fillId="20" borderId="7" xfId="0" applyFont="1" applyFill="1" applyBorder="1" applyAlignment="1">
      <alignment horizontal="center"/>
    </xf>
    <xf numFmtId="0" fontId="70" fillId="20" borderId="6" xfId="0" applyFont="1" applyFill="1" applyBorder="1" applyAlignment="1">
      <alignment horizontal="center"/>
    </xf>
    <xf numFmtId="0" fontId="70" fillId="20" borderId="3" xfId="0" applyFont="1" applyFill="1" applyBorder="1" applyAlignment="1">
      <alignment horizontal="center"/>
    </xf>
    <xf numFmtId="0" fontId="70" fillId="20" borderId="4" xfId="0" applyFont="1" applyFill="1" applyBorder="1" applyAlignment="1">
      <alignment horizontal="center"/>
    </xf>
    <xf numFmtId="0" fontId="29" fillId="18" borderId="13" xfId="0" applyFont="1" applyFill="1" applyBorder="1" applyAlignment="1">
      <alignment horizontal="left"/>
    </xf>
    <xf numFmtId="0" fontId="29" fillId="18" borderId="15" xfId="0" applyFont="1" applyFill="1" applyBorder="1" applyAlignment="1">
      <alignment horizontal="left"/>
    </xf>
    <xf numFmtId="0" fontId="29" fillId="18" borderId="14" xfId="0" applyFont="1" applyFill="1" applyBorder="1" applyAlignment="1">
      <alignment horizontal="left"/>
    </xf>
    <xf numFmtId="0" fontId="70" fillId="19" borderId="13" xfId="0" applyFont="1" applyFill="1" applyBorder="1" applyAlignment="1">
      <alignment horizontal="center" vertical="center"/>
    </xf>
    <xf numFmtId="0" fontId="70" fillId="19" borderId="15" xfId="0" applyFont="1" applyFill="1" applyBorder="1" applyAlignment="1">
      <alignment horizontal="center" vertical="center"/>
    </xf>
    <xf numFmtId="0" fontId="70" fillId="19" borderId="14" xfId="0" applyFont="1" applyFill="1" applyBorder="1" applyAlignment="1">
      <alignment horizontal="center" vertical="center"/>
    </xf>
    <xf numFmtId="0" fontId="81" fillId="19" borderId="5" xfId="0" applyFont="1" applyFill="1" applyBorder="1" applyAlignment="1">
      <alignment horizontal="center" vertical="center"/>
    </xf>
    <xf numFmtId="0" fontId="81" fillId="19" borderId="2" xfId="0" applyFont="1" applyFill="1" applyBorder="1" applyAlignment="1">
      <alignment horizontal="center" vertical="center"/>
    </xf>
    <xf numFmtId="0" fontId="81" fillId="19" borderId="7" xfId="0" applyFont="1" applyFill="1" applyBorder="1" applyAlignment="1">
      <alignment horizontal="center" vertical="center"/>
    </xf>
    <xf numFmtId="0" fontId="81" fillId="19" borderId="6" xfId="0" applyFont="1" applyFill="1" applyBorder="1" applyAlignment="1">
      <alignment horizontal="center" vertical="center"/>
    </xf>
    <xf numFmtId="0" fontId="81" fillId="19" borderId="3" xfId="0" applyFont="1" applyFill="1" applyBorder="1" applyAlignment="1">
      <alignment horizontal="center" vertical="center"/>
    </xf>
    <xf numFmtId="0" fontId="81" fillId="19" borderId="4" xfId="0" applyFont="1" applyFill="1" applyBorder="1" applyAlignment="1">
      <alignment horizontal="center" vertical="center"/>
    </xf>
    <xf numFmtId="0" fontId="78" fillId="0" borderId="0" xfId="0" applyFont="1" applyBorder="1" applyAlignment="1">
      <alignment horizontal="left" vertical="center" wrapText="1"/>
    </xf>
    <xf numFmtId="0" fontId="62" fillId="0" borderId="13" xfId="3" applyFont="1" applyBorder="1" applyAlignment="1">
      <alignment horizontal="center" vertical="center" wrapText="1"/>
    </xf>
    <xf numFmtId="0" fontId="62" fillId="0" borderId="14" xfId="3" applyFont="1" applyBorder="1" applyAlignment="1">
      <alignment horizontal="center" vertical="center" wrapText="1"/>
    </xf>
    <xf numFmtId="0" fontId="27" fillId="0" borderId="52" xfId="3" applyFont="1" applyBorder="1" applyAlignment="1">
      <alignment horizontal="center"/>
    </xf>
    <xf numFmtId="0" fontId="27" fillId="0" borderId="0" xfId="3" applyFont="1" applyBorder="1" applyAlignment="1">
      <alignment horizontal="center"/>
    </xf>
    <xf numFmtId="0" fontId="4" fillId="0" borderId="54" xfId="3" applyFont="1" applyFill="1" applyBorder="1" applyAlignment="1">
      <alignment horizontal="center" vertical="center" wrapText="1"/>
    </xf>
    <xf numFmtId="0" fontId="4" fillId="0" borderId="55" xfId="3" applyFont="1" applyFill="1" applyBorder="1" applyAlignment="1">
      <alignment horizontal="center" vertical="center" wrapText="1"/>
    </xf>
    <xf numFmtId="0" fontId="62" fillId="0" borderId="5" xfId="3" applyFont="1" applyBorder="1" applyAlignment="1">
      <alignment horizontal="center" vertical="center" wrapText="1"/>
    </xf>
    <xf numFmtId="0" fontId="62" fillId="0" borderId="7" xfId="3" applyFont="1" applyBorder="1" applyAlignment="1">
      <alignment horizontal="center" vertical="center" wrapText="1"/>
    </xf>
    <xf numFmtId="0" fontId="4" fillId="12" borderId="13" xfId="3" applyFont="1" applyFill="1" applyBorder="1" applyAlignment="1">
      <alignment horizontal="left" vertical="center" wrapText="1"/>
    </xf>
    <xf numFmtId="0" fontId="4" fillId="12" borderId="15" xfId="3" applyFont="1" applyFill="1" applyBorder="1" applyAlignment="1">
      <alignment horizontal="left" vertical="center" wrapText="1"/>
    </xf>
    <xf numFmtId="0" fontId="4" fillId="12" borderId="14" xfId="3" applyFont="1" applyFill="1" applyBorder="1" applyAlignment="1">
      <alignment horizontal="left" vertical="center" wrapText="1"/>
    </xf>
    <xf numFmtId="0" fontId="3" fillId="0" borderId="0" xfId="0" applyFont="1" applyAlignment="1">
      <alignment horizontal="left"/>
    </xf>
    <xf numFmtId="0" fontId="3" fillId="0" borderId="0" xfId="0" applyFont="1" applyAlignment="1"/>
    <xf numFmtId="0" fontId="3" fillId="0" borderId="0" xfId="0" applyFont="1" applyFill="1" applyAlignment="1"/>
    <xf numFmtId="2" fontId="8" fillId="0" borderId="0" xfId="0" applyNumberFormat="1" applyFont="1" applyBorder="1" applyAlignment="1">
      <alignment horizontal="center"/>
    </xf>
    <xf numFmtId="0" fontId="13" fillId="14" borderId="26" xfId="0" applyFont="1" applyFill="1" applyBorder="1" applyAlignment="1">
      <alignment horizontal="center"/>
    </xf>
    <xf numFmtId="2" fontId="4" fillId="8" borderId="26" xfId="0" applyNumberFormat="1" applyFont="1" applyFill="1" applyBorder="1" applyAlignment="1">
      <alignment horizontal="center"/>
    </xf>
    <xf numFmtId="0" fontId="8" fillId="0" borderId="0" xfId="0" applyFont="1" applyAlignment="1">
      <alignment horizontal="center"/>
    </xf>
    <xf numFmtId="0" fontId="4" fillId="0" borderId="26" xfId="0" applyFont="1" applyBorder="1" applyAlignment="1">
      <alignment horizontal="center"/>
    </xf>
    <xf numFmtId="0" fontId="8" fillId="12" borderId="10" xfId="0" applyFont="1" applyFill="1" applyBorder="1" applyAlignment="1">
      <alignment horizontal="center"/>
    </xf>
    <xf numFmtId="0" fontId="8" fillId="12" borderId="11" xfId="0" applyFont="1" applyFill="1" applyBorder="1" applyAlignment="1">
      <alignment horizontal="center"/>
    </xf>
    <xf numFmtId="0" fontId="8" fillId="12" borderId="12" xfId="0" applyFont="1" applyFill="1" applyBorder="1" applyAlignment="1">
      <alignment horizontal="center"/>
    </xf>
    <xf numFmtId="0" fontId="8" fillId="4" borderId="10" xfId="0" applyFont="1" applyFill="1" applyBorder="1" applyAlignment="1">
      <alignment horizontal="center"/>
    </xf>
    <xf numFmtId="0" fontId="8" fillId="4" borderId="11" xfId="0" applyFont="1" applyFill="1" applyBorder="1" applyAlignment="1">
      <alignment horizontal="center"/>
    </xf>
    <xf numFmtId="0" fontId="8" fillId="4" borderId="12" xfId="0" applyFont="1" applyFill="1" applyBorder="1" applyAlignment="1">
      <alignment horizontal="center"/>
    </xf>
    <xf numFmtId="0" fontId="8" fillId="6" borderId="10" xfId="0" applyFont="1" applyFill="1" applyBorder="1" applyAlignment="1">
      <alignment horizontal="center"/>
    </xf>
    <xf numFmtId="0" fontId="8" fillId="6" borderId="11" xfId="0" applyFont="1" applyFill="1" applyBorder="1" applyAlignment="1">
      <alignment horizontal="center"/>
    </xf>
    <xf numFmtId="0" fontId="8" fillId="6" borderId="12" xfId="0" applyFont="1" applyFill="1" applyBorder="1" applyAlignment="1">
      <alignment horizontal="center"/>
    </xf>
    <xf numFmtId="0" fontId="8" fillId="13" borderId="10" xfId="0" applyFont="1" applyFill="1" applyBorder="1" applyAlignment="1">
      <alignment horizontal="center"/>
    </xf>
    <xf numFmtId="0" fontId="8" fillId="13" borderId="11" xfId="0" applyFont="1" applyFill="1" applyBorder="1" applyAlignment="1">
      <alignment horizontal="center"/>
    </xf>
    <xf numFmtId="0" fontId="8" fillId="13" borderId="12" xfId="0" applyFont="1" applyFill="1" applyBorder="1" applyAlignment="1">
      <alignment horizontal="center"/>
    </xf>
    <xf numFmtId="0" fontId="4" fillId="0" borderId="0" xfId="0" applyFont="1" applyAlignment="1">
      <alignment horizontal="left"/>
    </xf>
    <xf numFmtId="0" fontId="13" fillId="8" borderId="26" xfId="0" applyFont="1" applyFill="1" applyBorder="1" applyAlignment="1">
      <alignment horizontal="center" vertical="center"/>
    </xf>
    <xf numFmtId="0" fontId="13" fillId="0" borderId="5" xfId="0" applyFont="1" applyBorder="1" applyAlignment="1">
      <alignment horizontal="center"/>
    </xf>
    <xf numFmtId="0" fontId="13" fillId="0" borderId="2" xfId="0" applyFont="1" applyBorder="1" applyAlignment="1">
      <alignment horizontal="center"/>
    </xf>
    <xf numFmtId="0" fontId="13" fillId="0" borderId="7" xfId="0" applyFont="1" applyBorder="1" applyAlignment="1">
      <alignment horizontal="center"/>
    </xf>
    <xf numFmtId="0" fontId="11" fillId="0" borderId="5" xfId="0" applyFont="1" applyBorder="1" applyAlignment="1">
      <alignment horizontal="center" vertical="top" wrapText="1"/>
    </xf>
    <xf numFmtId="0" fontId="11" fillId="0" borderId="2" xfId="0" applyFont="1" applyBorder="1" applyAlignment="1">
      <alignment horizontal="center" vertical="top" wrapText="1"/>
    </xf>
    <xf numFmtId="0" fontId="11" fillId="0" borderId="7" xfId="0" applyFont="1" applyBorder="1" applyAlignment="1">
      <alignment horizontal="center" vertical="top" wrapText="1"/>
    </xf>
    <xf numFmtId="0" fontId="11" fillId="0" borderId="8" xfId="0" applyFont="1" applyBorder="1" applyAlignment="1">
      <alignment horizontal="center" vertical="top" wrapText="1"/>
    </xf>
    <xf numFmtId="0" fontId="11" fillId="0" borderId="0" xfId="0" applyFont="1" applyBorder="1" applyAlignment="1">
      <alignment horizontal="center" vertical="top" wrapText="1"/>
    </xf>
    <xf numFmtId="0" fontId="11" fillId="0" borderId="9" xfId="0" applyFont="1" applyBorder="1" applyAlignment="1">
      <alignment horizontal="center" vertical="top" wrapText="1"/>
    </xf>
    <xf numFmtId="0" fontId="11" fillId="0" borderId="6" xfId="0" applyFont="1" applyBorder="1" applyAlignment="1">
      <alignment horizontal="center" vertical="top" wrapText="1"/>
    </xf>
    <xf numFmtId="0" fontId="11" fillId="0" borderId="3" xfId="0" applyFont="1" applyBorder="1" applyAlignment="1">
      <alignment horizontal="center" vertical="top" wrapText="1"/>
    </xf>
    <xf numFmtId="0" fontId="11" fillId="0" borderId="4" xfId="0" applyFont="1" applyBorder="1" applyAlignment="1">
      <alignment horizontal="center" vertical="top" wrapText="1"/>
    </xf>
    <xf numFmtId="2" fontId="13" fillId="8" borderId="13" xfId="0" applyNumberFormat="1" applyFont="1" applyFill="1" applyBorder="1" applyAlignment="1">
      <alignment horizontal="center"/>
    </xf>
    <xf numFmtId="2" fontId="13" fillId="8" borderId="15" xfId="0" applyNumberFormat="1" applyFont="1" applyFill="1" applyBorder="1" applyAlignment="1">
      <alignment horizontal="center"/>
    </xf>
    <xf numFmtId="2" fontId="13" fillId="8" borderId="14" xfId="0" applyNumberFormat="1" applyFont="1" applyFill="1" applyBorder="1" applyAlignment="1">
      <alignment horizontal="center"/>
    </xf>
    <xf numFmtId="0" fontId="13" fillId="14" borderId="13" xfId="0" applyFont="1" applyFill="1" applyBorder="1" applyAlignment="1">
      <alignment horizontal="center"/>
    </xf>
    <xf numFmtId="0" fontId="13" fillId="14" borderId="15" xfId="0" applyFont="1" applyFill="1" applyBorder="1" applyAlignment="1">
      <alignment horizontal="center"/>
    </xf>
    <xf numFmtId="0" fontId="13" fillId="14" borderId="14" xfId="0" applyFont="1" applyFill="1" applyBorder="1" applyAlignment="1">
      <alignment horizontal="center"/>
    </xf>
    <xf numFmtId="0" fontId="4" fillId="10" borderId="0" xfId="0" applyFont="1" applyFill="1" applyAlignment="1">
      <alignment horizontal="left"/>
    </xf>
    <xf numFmtId="2" fontId="13" fillId="8" borderId="26" xfId="0" applyNumberFormat="1" applyFont="1" applyFill="1" applyBorder="1" applyAlignment="1">
      <alignment horizontal="center"/>
    </xf>
    <xf numFmtId="0" fontId="13" fillId="8" borderId="26" xfId="0" applyFont="1" applyFill="1" applyBorder="1" applyAlignment="1">
      <alignment horizontal="center"/>
    </xf>
    <xf numFmtId="0" fontId="4" fillId="8" borderId="26" xfId="0" applyFont="1" applyFill="1" applyBorder="1" applyAlignment="1">
      <alignment horizontal="center"/>
    </xf>
    <xf numFmtId="0" fontId="118" fillId="0" borderId="0" xfId="0" applyFont="1" applyAlignment="1">
      <alignment horizontal="center"/>
    </xf>
    <xf numFmtId="0" fontId="114" fillId="0" borderId="1" xfId="0" applyFont="1" applyBorder="1" applyAlignment="1">
      <alignment horizontal="center"/>
    </xf>
    <xf numFmtId="0" fontId="110" fillId="0" borderId="10" xfId="0" applyFont="1" applyBorder="1" applyAlignment="1">
      <alignment horizontal="center" vertical="center"/>
    </xf>
    <xf numFmtId="0" fontId="110" fillId="0" borderId="11" xfId="0" applyFont="1" applyBorder="1" applyAlignment="1">
      <alignment horizontal="center" vertical="center"/>
    </xf>
    <xf numFmtId="0" fontId="110" fillId="0" borderId="12" xfId="0" applyFont="1" applyBorder="1" applyAlignment="1">
      <alignment horizontal="center" vertical="center"/>
    </xf>
    <xf numFmtId="0" fontId="118" fillId="0" borderId="10" xfId="0" applyFont="1" applyBorder="1" applyAlignment="1">
      <alignment horizontal="center" vertical="center" wrapText="1"/>
    </xf>
    <xf numFmtId="0" fontId="118" fillId="0" borderId="11" xfId="0" applyFont="1" applyBorder="1" applyAlignment="1">
      <alignment horizontal="center" vertical="center" wrapText="1"/>
    </xf>
    <xf numFmtId="0" fontId="118" fillId="0" borderId="12" xfId="0" applyFont="1" applyBorder="1" applyAlignment="1">
      <alignment horizontal="center" vertical="center" wrapText="1"/>
    </xf>
    <xf numFmtId="0" fontId="4" fillId="20" borderId="13" xfId="0" applyFont="1" applyFill="1" applyBorder="1" applyAlignment="1">
      <alignment horizontal="center"/>
    </xf>
    <xf numFmtId="0" fontId="4" fillId="20" borderId="15" xfId="0" applyFont="1" applyFill="1" applyBorder="1" applyAlignment="1">
      <alignment horizontal="center"/>
    </xf>
    <xf numFmtId="0" fontId="4" fillId="20" borderId="14" xfId="0" applyFont="1" applyFill="1" applyBorder="1" applyAlignment="1">
      <alignment horizontal="center"/>
    </xf>
    <xf numFmtId="0" fontId="8" fillId="0" borderId="1" xfId="0" applyFont="1" applyBorder="1" applyAlignment="1">
      <alignment horizontal="center"/>
    </xf>
    <xf numFmtId="170" fontId="8" fillId="0" borderId="0" xfId="0" applyNumberFormat="1" applyFont="1" applyAlignment="1">
      <alignment horizontal="center"/>
    </xf>
    <xf numFmtId="0" fontId="24" fillId="0" borderId="0" xfId="0" applyFont="1" applyBorder="1" applyAlignment="1">
      <alignment horizontal="center"/>
    </xf>
    <xf numFmtId="0" fontId="24" fillId="0" borderId="2" xfId="0" applyFont="1" applyBorder="1" applyAlignment="1">
      <alignment horizontal="center"/>
    </xf>
    <xf numFmtId="1" fontId="8" fillId="0" borderId="0" xfId="0" applyNumberFormat="1" applyFont="1" applyBorder="1" applyAlignment="1">
      <alignment horizontal="center"/>
    </xf>
    <xf numFmtId="0" fontId="0" fillId="9" borderId="17" xfId="0" applyFill="1" applyBorder="1" applyAlignment="1">
      <alignment horizontal="center"/>
    </xf>
    <xf numFmtId="0" fontId="0" fillId="9" borderId="18" xfId="0" applyFill="1" applyBorder="1" applyAlignment="1">
      <alignment horizontal="center"/>
    </xf>
    <xf numFmtId="0" fontId="20" fillId="0" borderId="0" xfId="0" applyFont="1" applyAlignment="1">
      <alignment horizontal="center"/>
    </xf>
    <xf numFmtId="0" fontId="65" fillId="0" borderId="0" xfId="0" applyFont="1" applyAlignment="1">
      <alignment horizontal="center"/>
    </xf>
    <xf numFmtId="0" fontId="29" fillId="0" borderId="13" xfId="0" applyFont="1" applyBorder="1" applyAlignment="1">
      <alignment horizontal="center" vertical="center"/>
    </xf>
    <xf numFmtId="0" fontId="29" fillId="0" borderId="15" xfId="0" applyFont="1" applyBorder="1" applyAlignment="1">
      <alignment horizontal="center" vertical="center"/>
    </xf>
    <xf numFmtId="0" fontId="29" fillId="0" borderId="14" xfId="0" applyFont="1" applyBorder="1" applyAlignment="1">
      <alignment horizontal="center" vertical="center"/>
    </xf>
    <xf numFmtId="0" fontId="24" fillId="0" borderId="5" xfId="0" applyFont="1" applyBorder="1" applyAlignment="1">
      <alignment horizontal="center"/>
    </xf>
    <xf numFmtId="0" fontId="24" fillId="0" borderId="7" xfId="0" applyFont="1" applyBorder="1" applyAlignment="1">
      <alignment horizontal="center"/>
    </xf>
    <xf numFmtId="0" fontId="8" fillId="0" borderId="37" xfId="0" applyFont="1" applyBorder="1" applyAlignment="1">
      <alignment horizontal="center" vertical="center"/>
    </xf>
    <xf numFmtId="0" fontId="8" fillId="0" borderId="28" xfId="0" applyFont="1" applyBorder="1" applyAlignment="1">
      <alignment horizontal="center" vertical="center"/>
    </xf>
    <xf numFmtId="0" fontId="24" fillId="0" borderId="28" xfId="0" applyFont="1" applyBorder="1" applyAlignment="1">
      <alignment horizontal="center" wrapText="1"/>
    </xf>
    <xf numFmtId="0" fontId="24" fillId="0" borderId="39" xfId="0" applyFont="1" applyBorder="1" applyAlignment="1">
      <alignment horizontal="center" wrapText="1"/>
    </xf>
    <xf numFmtId="0" fontId="24" fillId="0" borderId="45" xfId="0" applyFont="1" applyBorder="1" applyAlignment="1">
      <alignment horizontal="center" wrapText="1"/>
    </xf>
    <xf numFmtId="0" fontId="24" fillId="0" borderId="46" xfId="0" applyFont="1" applyBorder="1" applyAlignment="1">
      <alignment horizontal="center" wrapText="1"/>
    </xf>
    <xf numFmtId="0" fontId="24" fillId="0" borderId="28" xfId="0" applyFont="1" applyBorder="1" applyAlignment="1">
      <alignment horizontal="center" vertical="center"/>
    </xf>
    <xf numFmtId="0" fontId="24" fillId="0" borderId="39" xfId="0" applyFont="1" applyBorder="1" applyAlignment="1">
      <alignment horizontal="center" vertical="center"/>
    </xf>
    <xf numFmtId="0" fontId="24" fillId="0" borderId="37" xfId="0" applyFont="1" applyBorder="1" applyAlignment="1">
      <alignment horizontal="center" vertical="center"/>
    </xf>
    <xf numFmtId="0" fontId="24" fillId="0" borderId="40" xfId="0" applyFont="1" applyBorder="1" applyAlignment="1">
      <alignment horizontal="center" vertical="center"/>
    </xf>
    <xf numFmtId="0" fontId="19" fillId="0" borderId="5"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19" fillId="0" borderId="8" xfId="0" applyFont="1" applyBorder="1" applyAlignment="1">
      <alignment horizontal="center" vertical="center"/>
    </xf>
    <xf numFmtId="0" fontId="19" fillId="0" borderId="0" xfId="0" applyFont="1" applyBorder="1" applyAlignment="1">
      <alignment horizontal="center" vertical="center"/>
    </xf>
    <xf numFmtId="0" fontId="19" fillId="0" borderId="9" xfId="0" applyFont="1" applyBorder="1" applyAlignment="1">
      <alignment horizontal="center" vertical="center"/>
    </xf>
    <xf numFmtId="0" fontId="19" fillId="0" borderId="6"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cellXfs>
  <cellStyles count="10">
    <cellStyle name="Accent6" xfId="6" builtinId="49"/>
    <cellStyle name="Comma" xfId="1" builtinId="3"/>
    <cellStyle name="Currency" xfId="8" builtinId="4"/>
    <cellStyle name="Currency 2" xfId="4" xr:uid="{00000000-0005-0000-0000-000003000000}"/>
    <cellStyle name="Hyperlink" xfId="7" builtinId="8"/>
    <cellStyle name="Normal" xfId="0" builtinId="0"/>
    <cellStyle name="Normal 2" xfId="3" xr:uid="{00000000-0005-0000-0000-000006000000}"/>
    <cellStyle name="Normal 3" xfId="5" xr:uid="{00000000-0005-0000-0000-000007000000}"/>
    <cellStyle name="Normal 3 2" xfId="9" xr:uid="{00000000-0005-0000-0000-000008000000}"/>
    <cellStyle name="Percent" xfId="2" builtinId="5"/>
  </cellStyles>
  <dxfs count="128">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numFmt numFmtId="4" formatCode="#,##0.00"/>
    </dxf>
    <dxf>
      <numFmt numFmtId="185" formatCode="&quot;$&quot;#,##0"/>
    </dxf>
    <dxf>
      <fill>
        <patternFill>
          <bgColor rgb="FF00B050"/>
        </patternFill>
      </fill>
    </dxf>
    <dxf>
      <fill>
        <patternFill>
          <bgColor theme="6" tint="0.59996337778862885"/>
        </patternFill>
      </fill>
      <border>
        <left style="thin">
          <color auto="1"/>
        </left>
        <right style="thin">
          <color auto="1"/>
        </right>
        <top style="thin">
          <color auto="1"/>
        </top>
        <bottom style="thin">
          <color auto="1"/>
        </bottom>
        <vertical/>
        <horizontal/>
      </border>
    </dxf>
    <dxf>
      <numFmt numFmtId="183" formatCode="&quot;$&quot;#,##0.00"/>
    </dxf>
    <dxf>
      <numFmt numFmtId="189" formatCode="0.000E+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ont>
        <color rgb="FF66FFFF"/>
      </font>
    </dxf>
    <dxf>
      <font>
        <color theme="0"/>
      </font>
      <fill>
        <patternFill patternType="none">
          <bgColor auto="1"/>
        </patternFill>
      </fill>
      <border>
        <left/>
        <right/>
        <top style="thin">
          <color auto="1"/>
        </top>
        <bottom/>
        <vertical/>
        <horizontal/>
      </border>
    </dxf>
    <dxf>
      <numFmt numFmtId="189" formatCode="0.000E+00"/>
    </dxf>
    <dxf>
      <font>
        <color theme="0"/>
      </font>
      <fill>
        <patternFill patternType="none">
          <bgColor auto="1"/>
        </patternFill>
      </fill>
    </dxf>
    <dxf>
      <fill>
        <patternFill patternType="none">
          <bgColor auto="1"/>
        </patternFill>
      </fill>
    </dxf>
    <dxf>
      <fill>
        <patternFill>
          <bgColor rgb="FFFF0000"/>
        </patternFill>
      </fill>
    </dxf>
    <dxf>
      <numFmt numFmtId="185" formatCode="&quot;$&quot;#,##0"/>
    </dxf>
    <dxf>
      <numFmt numFmtId="4" formatCode="#,##0.00"/>
    </dxf>
    <dxf>
      <numFmt numFmtId="185" formatCode="&quot;$&quot;#,##0"/>
    </dxf>
    <dxf>
      <fill>
        <patternFill>
          <bgColor theme="7" tint="0.59996337778862885"/>
        </patternFill>
      </fill>
    </dxf>
    <dxf>
      <fill>
        <patternFill>
          <bgColor theme="9" tint="0.59996337778862885"/>
        </patternFill>
      </fill>
    </dxf>
    <dxf>
      <font>
        <b/>
        <i val="0"/>
        <color rgb="FF00B050"/>
      </font>
    </dxf>
    <dxf>
      <font>
        <b/>
        <i val="0"/>
        <color rgb="FF00B050"/>
      </font>
    </dxf>
    <dxf>
      <font>
        <b/>
        <i val="0"/>
        <color rgb="FFFF9900"/>
      </font>
    </dxf>
    <dxf>
      <font>
        <b/>
        <i val="0"/>
        <color rgb="FFC00000"/>
      </font>
    </dxf>
    <dxf>
      <font>
        <color rgb="FF00B050"/>
      </font>
    </dxf>
    <dxf>
      <font>
        <color rgb="FFC00000"/>
      </font>
    </dxf>
    <dxf>
      <font>
        <color rgb="FF00B050"/>
      </font>
    </dxf>
    <dxf>
      <font>
        <color rgb="FFC00000"/>
      </font>
    </dxf>
    <dxf>
      <font>
        <b/>
        <i val="0"/>
        <color rgb="FF00B050"/>
      </font>
    </dxf>
    <dxf>
      <font>
        <b/>
        <i val="0"/>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66FFFF"/>
      <color rgb="FFFFFFCC"/>
      <color rgb="FFCC99FF"/>
      <color rgb="FFFFFF99"/>
      <color rgb="FFFF9900"/>
      <color rgb="FF33CCFF"/>
      <color rgb="FF0000FF"/>
      <color rgb="FFFFFFE5"/>
      <color rgb="FFFFFFF3"/>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1692377965657"/>
          <c:y val="0.14984564098631947"/>
          <c:w val="0.70751250488326412"/>
          <c:h val="0.66149718255644341"/>
        </c:manualLayout>
      </c:layout>
      <c:scatterChart>
        <c:scatterStyle val="lineMarker"/>
        <c:varyColors val="0"/>
        <c:ser>
          <c:idx val="0"/>
          <c:order val="0"/>
          <c:tx>
            <c:strRef>
              <c:f>Dashboard!$C$79</c:f>
              <c:strCache>
                <c:ptCount val="1"/>
                <c:pt idx="0">
                  <c:v>Pack total mass, kg</c:v>
                </c:pt>
              </c:strCache>
            </c:strRef>
          </c:tx>
          <c:spPr>
            <a:ln w="25400" cap="rnd">
              <a:noFill/>
              <a:round/>
            </a:ln>
            <a:effectLst/>
          </c:spPr>
          <c:marker>
            <c:symbol val="circle"/>
            <c:size val="16"/>
            <c:spPr>
              <a:solidFill>
                <a:schemeClr val="accent1"/>
              </a:solidFill>
              <a:ln w="12700">
                <a:solidFill>
                  <a:schemeClr val="tx1"/>
                </a:solidFill>
              </a:ln>
              <a:effectLst/>
            </c:spPr>
          </c:marker>
          <c:xVal>
            <c:numRef>
              <c:f>Dashboard!$D$78:$J$78</c:f>
              <c:numCache>
                <c:formatCode>#,##0</c:formatCode>
                <c:ptCount val="7"/>
                <c:pt idx="0">
                  <c:v>99.999999999999957</c:v>
                </c:pt>
                <c:pt idx="1">
                  <c:v>99.999999999999957</c:v>
                </c:pt>
                <c:pt idx="2">
                  <c:v>99.999999999999957</c:v>
                </c:pt>
                <c:pt idx="3">
                  <c:v>99.999999999999957</c:v>
                </c:pt>
                <c:pt idx="4">
                  <c:v>99.999999999999957</c:v>
                </c:pt>
                <c:pt idx="5">
                  <c:v>99.999999999999957</c:v>
                </c:pt>
                <c:pt idx="6">
                  <c:v>99.999999999999957</c:v>
                </c:pt>
              </c:numCache>
            </c:numRef>
          </c:xVal>
          <c:yVal>
            <c:numRef>
              <c:f>Dashboard!$D$79:$J$79</c:f>
              <c:numCache>
                <c:formatCode>#,##0</c:formatCode>
                <c:ptCount val="7"/>
                <c:pt idx="0">
                  <c:v>544.79122628184587</c:v>
                </c:pt>
                <c:pt idx="1">
                  <c:v>544.79122628184587</c:v>
                </c:pt>
                <c:pt idx="2">
                  <c:v>544.79122628184587</c:v>
                </c:pt>
                <c:pt idx="3">
                  <c:v>544.79122628184587</c:v>
                </c:pt>
                <c:pt idx="4">
                  <c:v>544.79122628184587</c:v>
                </c:pt>
                <c:pt idx="5">
                  <c:v>544.79122628184587</c:v>
                </c:pt>
                <c:pt idx="6">
                  <c:v>544.79122628184587</c:v>
                </c:pt>
              </c:numCache>
            </c:numRef>
          </c:yVal>
          <c:smooth val="0"/>
          <c:extLst>
            <c:ext xmlns:c16="http://schemas.microsoft.com/office/drawing/2014/chart" uri="{C3380CC4-5D6E-409C-BE32-E72D297353CC}">
              <c16:uniqueId val="{00000000-8C32-4417-A6A2-1CF7A728E48B}"/>
            </c:ext>
          </c:extLst>
        </c:ser>
        <c:dLbls>
          <c:showLegendKey val="0"/>
          <c:showVal val="0"/>
          <c:showCatName val="0"/>
          <c:showSerName val="0"/>
          <c:showPercent val="0"/>
          <c:showBubbleSize val="0"/>
        </c:dLbls>
        <c:axId val="640154240"/>
        <c:axId val="640154568"/>
      </c:scatterChart>
      <c:scatterChart>
        <c:scatterStyle val="lineMarker"/>
        <c:varyColors val="0"/>
        <c:ser>
          <c:idx val="1"/>
          <c:order val="1"/>
          <c:tx>
            <c:strRef>
              <c:f>Dashboard!$C$80</c:f>
              <c:strCache>
                <c:ptCount val="1"/>
                <c:pt idx="0">
                  <c:v>Cost of cells, $/kWhUse</c:v>
                </c:pt>
              </c:strCache>
            </c:strRef>
          </c:tx>
          <c:spPr>
            <a:ln w="25400" cap="rnd">
              <a:noFill/>
              <a:round/>
            </a:ln>
            <a:effectLst/>
          </c:spPr>
          <c:marker>
            <c:symbol val="circle"/>
            <c:size val="16"/>
            <c:spPr>
              <a:solidFill>
                <a:srgbClr val="C00000"/>
              </a:solidFill>
              <a:ln w="9525">
                <a:solidFill>
                  <a:schemeClr val="tx1"/>
                </a:solidFill>
              </a:ln>
              <a:effectLst/>
            </c:spPr>
          </c:marker>
          <c:xVal>
            <c:numRef>
              <c:f>Dashboard!$D$78:$J$78</c:f>
              <c:numCache>
                <c:formatCode>#,##0</c:formatCode>
                <c:ptCount val="7"/>
                <c:pt idx="0">
                  <c:v>99.999999999999957</c:v>
                </c:pt>
                <c:pt idx="1">
                  <c:v>99.999999999999957</c:v>
                </c:pt>
                <c:pt idx="2">
                  <c:v>99.999999999999957</c:v>
                </c:pt>
                <c:pt idx="3">
                  <c:v>99.999999999999957</c:v>
                </c:pt>
                <c:pt idx="4">
                  <c:v>99.999999999999957</c:v>
                </c:pt>
                <c:pt idx="5">
                  <c:v>99.999999999999957</c:v>
                </c:pt>
                <c:pt idx="6">
                  <c:v>99.999999999999957</c:v>
                </c:pt>
              </c:numCache>
            </c:numRef>
          </c:xVal>
          <c:yVal>
            <c:numRef>
              <c:f>Dashboard!$D$80:$J$80</c:f>
              <c:numCache>
                <c:formatCode>#,##0</c:formatCode>
                <c:ptCount val="7"/>
                <c:pt idx="0">
                  <c:v>269.25803212038585</c:v>
                </c:pt>
                <c:pt idx="1">
                  <c:v>184.60669059145073</c:v>
                </c:pt>
                <c:pt idx="2">
                  <c:v>178.6486941359303</c:v>
                </c:pt>
                <c:pt idx="3">
                  <c:v>174.87548724200394</c:v>
                </c:pt>
                <c:pt idx="4">
                  <c:v>172.17880840245158</c:v>
                </c:pt>
                <c:pt idx="5">
                  <c:v>167.73615526868616</c:v>
                </c:pt>
                <c:pt idx="6">
                  <c:v>164.90273210426747</c:v>
                </c:pt>
              </c:numCache>
            </c:numRef>
          </c:yVal>
          <c:smooth val="0"/>
          <c:extLst>
            <c:ext xmlns:c16="http://schemas.microsoft.com/office/drawing/2014/chart" uri="{C3380CC4-5D6E-409C-BE32-E72D297353CC}">
              <c16:uniqueId val="{00000001-8C32-4417-A6A2-1CF7A728E48B}"/>
            </c:ext>
          </c:extLst>
        </c:ser>
        <c:dLbls>
          <c:showLegendKey val="0"/>
          <c:showVal val="0"/>
          <c:showCatName val="0"/>
          <c:showSerName val="0"/>
          <c:showPercent val="0"/>
          <c:showBubbleSize val="0"/>
        </c:dLbls>
        <c:axId val="564718496"/>
        <c:axId val="564729320"/>
      </c:scatterChart>
      <c:valAx>
        <c:axId val="640154240"/>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Dashboard!$D$76</c:f>
              <c:strCache>
                <c:ptCount val="1"/>
                <c:pt idx="0">
                  <c:v>Battery system total energy storage, kWh</c:v>
                </c:pt>
              </c:strCache>
            </c:strRef>
          </c:tx>
          <c:layout>
            <c:manualLayout>
              <c:xMode val="edge"/>
              <c:yMode val="edge"/>
              <c:x val="0.31184044134141731"/>
              <c:y val="0.89593276376496067"/>
            </c:manualLayout>
          </c:layout>
          <c:overlay val="0"/>
          <c:spPr>
            <a:noFill/>
            <a:ln>
              <a:noFill/>
            </a:ln>
            <a:effectLst/>
          </c:spPr>
          <c:txPr>
            <a:bodyPr rot="0" spcFirstLastPara="1" vertOverflow="ellipsis" vert="horz" wrap="square" anchor="ctr" anchorCtr="1"/>
            <a:lstStyle/>
            <a:p>
              <a:pPr algn="ctr">
                <a:defRPr sz="28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40154568"/>
        <c:crossesAt val="-1"/>
        <c:crossBetween val="midCat"/>
      </c:valAx>
      <c:valAx>
        <c:axId val="640154568"/>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Dashboard!$F$76</c:f>
              <c:strCache>
                <c:ptCount val="1"/>
                <c:pt idx="0">
                  <c:v>Pack total mass, kg</c:v>
                </c:pt>
              </c:strCache>
            </c:strRef>
          </c:tx>
          <c:layout>
            <c:manualLayout>
              <c:xMode val="edge"/>
              <c:yMode val="edge"/>
              <c:x val="6.6138491454443837E-2"/>
              <c:y val="0.26448221353835566"/>
            </c:manualLayout>
          </c:layout>
          <c:overlay val="0"/>
          <c:spPr>
            <a:noFill/>
            <a:ln>
              <a:noFill/>
            </a:ln>
            <a:effectLst/>
          </c:spPr>
          <c:txPr>
            <a:bodyPr rot="-5400000" spcFirstLastPara="1" vertOverflow="ellipsis" vert="horz" wrap="square" anchor="ctr" anchorCtr="1"/>
            <a:lstStyle/>
            <a:p>
              <a:pPr>
                <a:defRPr sz="24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20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crossAx val="640154240"/>
        <c:crosses val="autoZero"/>
        <c:crossBetween val="midCat"/>
      </c:valAx>
      <c:valAx>
        <c:axId val="564729320"/>
        <c:scaling>
          <c:orientation val="minMax"/>
        </c:scaling>
        <c:delete val="0"/>
        <c:axPos val="r"/>
        <c:title>
          <c:tx>
            <c:strRef>
              <c:f>Dashboard!$H$76</c:f>
              <c:strCache>
                <c:ptCount val="1"/>
                <c:pt idx="0">
                  <c:v>Cost of cells, $/kWhUse</c:v>
                </c:pt>
              </c:strCache>
            </c:strRef>
          </c:tx>
          <c:layout>
            <c:manualLayout>
              <c:xMode val="edge"/>
              <c:yMode val="edge"/>
              <c:x val="0.94285143632629631"/>
              <c:y val="0.27298057159883199"/>
            </c:manualLayout>
          </c:layout>
          <c:overlay val="0"/>
          <c:spPr>
            <a:noFill/>
            <a:ln>
              <a:noFill/>
            </a:ln>
            <a:effectLst/>
          </c:spPr>
          <c:txPr>
            <a:bodyPr rot="-5400000" spcFirstLastPara="1" vertOverflow="ellipsis" vert="horz" wrap="square" anchor="ctr" anchorCtr="1"/>
            <a:lstStyle/>
            <a:p>
              <a:pPr>
                <a:defRPr sz="24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high"/>
        <c:spPr>
          <a:noFill/>
          <a:ln w="28575" cap="flat" cmpd="sng" algn="ctr">
            <a:solidFill>
              <a:sysClr val="windowText" lastClr="000000"/>
            </a:solidFill>
            <a:round/>
          </a:ln>
          <a:effectLst/>
        </c:spPr>
        <c:txPr>
          <a:bodyPr rot="-60000000" spcFirstLastPara="1" vertOverflow="ellipsis" vert="horz" wrap="square" anchor="ctr" anchorCtr="1"/>
          <a:lstStyle/>
          <a:p>
            <a:pPr>
              <a:defRPr sz="20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crossAx val="564718496"/>
        <c:crosses val="max"/>
        <c:crossBetween val="midCat"/>
      </c:valAx>
      <c:valAx>
        <c:axId val="564718496"/>
        <c:scaling>
          <c:orientation val="minMax"/>
        </c:scaling>
        <c:delete val="1"/>
        <c:axPos val="b"/>
        <c:numFmt formatCode="#,##0" sourceLinked="1"/>
        <c:majorTickMark val="out"/>
        <c:minorTickMark val="none"/>
        <c:tickLblPos val="nextTo"/>
        <c:crossAx val="564729320"/>
        <c:crosses val="autoZero"/>
        <c:crossBetween val="midCat"/>
      </c:valAx>
      <c:spPr>
        <a:solidFill>
          <a:schemeClr val="lt1"/>
        </a:solidFill>
        <a:ln w="28575" cap="flat" cmpd="sng" algn="ctr">
          <a:solidFill>
            <a:schemeClr val="dk1"/>
          </a:solidFill>
          <a:prstDash val="solid"/>
        </a:ln>
        <a:effectLst/>
      </c:spPr>
    </c:plotArea>
    <c:legend>
      <c:legendPos val="b"/>
      <c:layout>
        <c:manualLayout>
          <c:xMode val="edge"/>
          <c:yMode val="edge"/>
          <c:x val="0.23216887002454628"/>
          <c:y val="7.687401266213055E-2"/>
          <c:w val="0.57684759032731137"/>
          <c:h val="5.3314903650297521E-2"/>
        </c:manualLayout>
      </c:layout>
      <c:overlay val="0"/>
      <c:spPr>
        <a:solidFill>
          <a:schemeClr val="bg1">
            <a:lumMod val="85000"/>
            <a:alpha val="70000"/>
          </a:schemeClr>
        </a:solidFill>
        <a:ln>
          <a:solidFill>
            <a:schemeClr val="bg1">
              <a:lumMod val="65000"/>
            </a:schemeClr>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5400000" vert="horz"/>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0"/>
            <c:dispEq val="1"/>
            <c:trendlineLbl>
              <c:numFmt formatCode="0.0000"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0-21EC-44D4-8FD1-273D977409E7}"/>
            </c:ext>
          </c:extLst>
        </c:ser>
        <c:ser>
          <c:idx val="1"/>
          <c:order val="1"/>
          <c:spPr>
            <a:ln w="28575">
              <a:noFill/>
            </a:ln>
          </c:spPr>
          <c:marker>
            <c:symbol val="square"/>
            <c:size val="5"/>
            <c:spPr>
              <a:solidFill>
                <a:srgbClr val="FF00FF"/>
              </a:solidFill>
              <a:ln>
                <a:solidFill>
                  <a:srgbClr val="FF00FF"/>
                </a:solidFill>
                <a:prstDash val="solid"/>
              </a:ln>
            </c:spPr>
          </c:marker>
          <c:trendline>
            <c:spPr>
              <a:ln w="25400">
                <a:solidFill>
                  <a:srgbClr val="000000"/>
                </a:solidFill>
                <a:prstDash val="solid"/>
              </a:ln>
            </c:spPr>
            <c:trendlineType val="linear"/>
            <c:dispRSqr val="0"/>
            <c:dispEq val="1"/>
            <c:trendlineLbl>
              <c:numFmt formatCode="General"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1-21EC-44D4-8FD1-273D977409E7}"/>
            </c:ext>
          </c:extLst>
        </c:ser>
        <c:dLbls>
          <c:showLegendKey val="0"/>
          <c:showVal val="0"/>
          <c:showCatName val="0"/>
          <c:showSerName val="0"/>
          <c:showPercent val="0"/>
          <c:showBubbleSize val="0"/>
        </c:dLbls>
        <c:axId val="233907408"/>
        <c:axId val="232458864"/>
      </c:scatterChart>
      <c:valAx>
        <c:axId val="23390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2458864"/>
        <c:crosses val="autoZero"/>
        <c:crossBetween val="midCat"/>
      </c:valAx>
      <c:valAx>
        <c:axId val="23245886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39074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1</a:t>
            </a:r>
          </a:p>
        </c:rich>
      </c:tx>
      <c:layout>
        <c:manualLayout>
          <c:xMode val="edge"/>
          <c:yMode val="edge"/>
          <c:x val="0.34419574809466508"/>
          <c:y val="6.0836487329963213E-3"/>
        </c:manualLayout>
      </c:layout>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dPt>
            <c:idx val="1"/>
            <c:bubble3D val="0"/>
            <c:extLst>
              <c:ext xmlns:c16="http://schemas.microsoft.com/office/drawing/2014/chart" uri="{C3380CC4-5D6E-409C-BE32-E72D297353CC}">
                <c16:uniqueId val="{00000000-23FE-4C1C-A846-29D1A7AC5BCF}"/>
              </c:ext>
            </c:extLst>
          </c:dPt>
          <c:dPt>
            <c:idx val="2"/>
            <c:bubble3D val="0"/>
            <c:extLst>
              <c:ext xmlns:c16="http://schemas.microsoft.com/office/drawing/2014/chart" uri="{C3380CC4-5D6E-409C-BE32-E72D297353CC}">
                <c16:uniqueId val="{00000001-23FE-4C1C-A846-29D1A7AC5BCF}"/>
              </c:ext>
            </c:extLst>
          </c:dPt>
          <c:dPt>
            <c:idx val="3"/>
            <c:bubble3D val="0"/>
            <c:extLst>
              <c:ext xmlns:c16="http://schemas.microsoft.com/office/drawing/2014/chart" uri="{C3380CC4-5D6E-409C-BE32-E72D297353CC}">
                <c16:uniqueId val="{00000002-23FE-4C1C-A846-29D1A7AC5BCF}"/>
              </c:ext>
            </c:extLst>
          </c:dPt>
          <c:dPt>
            <c:idx val="4"/>
            <c:bubble3D val="0"/>
            <c:extLst>
              <c:ext xmlns:c16="http://schemas.microsoft.com/office/drawing/2014/chart" uri="{C3380CC4-5D6E-409C-BE32-E72D297353CC}">
                <c16:uniqueId val="{00000003-23FE-4C1C-A846-29D1A7AC5BCF}"/>
              </c:ext>
            </c:extLst>
          </c:dPt>
          <c:dPt>
            <c:idx val="5"/>
            <c:bubble3D val="0"/>
            <c:extLst>
              <c:ext xmlns:c16="http://schemas.microsoft.com/office/drawing/2014/chart" uri="{C3380CC4-5D6E-409C-BE32-E72D297353CC}">
                <c16:uniqueId val="{00000004-23FE-4C1C-A846-29D1A7AC5BCF}"/>
              </c:ext>
            </c:extLst>
          </c:dPt>
          <c:dPt>
            <c:idx val="6"/>
            <c:bubble3D val="0"/>
            <c:extLst>
              <c:ext xmlns:c16="http://schemas.microsoft.com/office/drawing/2014/chart" uri="{C3380CC4-5D6E-409C-BE32-E72D297353CC}">
                <c16:uniqueId val="{00000005-23FE-4C1C-A846-29D1A7AC5BCF}"/>
              </c:ext>
            </c:extLst>
          </c:dPt>
          <c:dPt>
            <c:idx val="7"/>
            <c:bubble3D val="0"/>
            <c:extLst>
              <c:ext xmlns:c16="http://schemas.microsoft.com/office/drawing/2014/chart" uri="{C3380CC4-5D6E-409C-BE32-E72D297353CC}">
                <c16:uniqueId val="{00000006-23FE-4C1C-A846-29D1A7AC5BCF}"/>
              </c:ext>
            </c:extLst>
          </c:dPt>
          <c:dPt>
            <c:idx val="8"/>
            <c:bubble3D val="0"/>
            <c:extLst>
              <c:ext xmlns:c16="http://schemas.microsoft.com/office/drawing/2014/chart" uri="{C3380CC4-5D6E-409C-BE32-E72D297353CC}">
                <c16:uniqueId val="{00000007-23FE-4C1C-A846-29D1A7AC5BCF}"/>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'Summary of Results'!$B$89:$B$97</c:f>
              <c:strCache>
                <c:ptCount val="9"/>
                <c:pt idx="0">
                  <c:v>Total cost of materials, $/pack</c:v>
                </c:pt>
                <c:pt idx="1">
                  <c:v>Total cost of purchased items, $/pack </c:v>
                </c:pt>
                <c:pt idx="2">
                  <c:v>Total cost of direct labor, $/pack                    </c:v>
                </c:pt>
                <c:pt idx="3">
                  <c:v>Cost of variable overhead, $/pack  </c:v>
                </c:pt>
                <c:pt idx="4">
                  <c:v>Cost of general, sales, administration, $/pack</c:v>
                </c:pt>
                <c:pt idx="5">
                  <c:v>Cost of research and development, $/pack</c:v>
                </c:pt>
                <c:pt idx="6">
                  <c:v>Cost of depreciation, $/pack</c:v>
                </c:pt>
                <c:pt idx="7">
                  <c:v>Per unit profit, $/pack </c:v>
                </c:pt>
                <c:pt idx="8">
                  <c:v>Warranty (includes battery pack(s) only), $/pack</c:v>
                </c:pt>
              </c:strCache>
            </c:strRef>
          </c:cat>
          <c:val>
            <c:numRef>
              <c:f>'Summary of Results'!$G$89:$G$97</c:f>
              <c:numCache>
                <c:formatCode>_(* #,##0_);_(* \(#,##0\);_(* "-"??_);_(@_)</c:formatCode>
                <c:ptCount val="9"/>
                <c:pt idx="0">
                  <c:v>12116.589315042083</c:v>
                </c:pt>
                <c:pt idx="1">
                  <c:v>2698.0320576533713</c:v>
                </c:pt>
                <c:pt idx="2">
                  <c:v>2415.0544969395514</c:v>
                </c:pt>
                <c:pt idx="3">
                  <c:v>1465.2739900663714</c:v>
                </c:pt>
                <c:pt idx="4">
                  <c:v>1594.1473608646688</c:v>
                </c:pt>
                <c:pt idx="5">
                  <c:v>998.50438258110114</c:v>
                </c:pt>
                <c:pt idx="6">
                  <c:v>2496.2609564527529</c:v>
                </c:pt>
                <c:pt idx="7">
                  <c:v>1135.3917792311966</c:v>
                </c:pt>
                <c:pt idx="8">
                  <c:v>1395.4782429745414</c:v>
                </c:pt>
              </c:numCache>
            </c:numRef>
          </c:val>
          <c:extLst>
            <c:ext xmlns:c16="http://schemas.microsoft.com/office/drawing/2014/chart" uri="{C3380CC4-5D6E-409C-BE32-E72D297353CC}">
              <c16:uniqueId val="{00000008-23FE-4C1C-A846-29D1A7AC5BCF}"/>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7244536671183252"/>
          <c:y val="0.13249468399277051"/>
          <c:w val="0.51651218687916722"/>
          <c:h val="0.85761842876119188"/>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1</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dPt>
            <c:idx val="1"/>
            <c:bubble3D val="0"/>
            <c:extLst>
              <c:ext xmlns:c16="http://schemas.microsoft.com/office/drawing/2014/chart" uri="{C3380CC4-5D6E-409C-BE32-E72D297353CC}">
                <c16:uniqueId val="{00000000-DE27-432B-B24B-A767728790EC}"/>
              </c:ext>
            </c:extLst>
          </c:dPt>
          <c:dPt>
            <c:idx val="2"/>
            <c:bubble3D val="0"/>
            <c:extLst>
              <c:ext xmlns:c16="http://schemas.microsoft.com/office/drawing/2014/chart" uri="{C3380CC4-5D6E-409C-BE32-E72D297353CC}">
                <c16:uniqueId val="{00000001-DE27-432B-B24B-A767728790EC}"/>
              </c:ext>
            </c:extLst>
          </c:dPt>
          <c:dPt>
            <c:idx val="3"/>
            <c:bubble3D val="0"/>
            <c:extLst>
              <c:ext xmlns:c16="http://schemas.microsoft.com/office/drawing/2014/chart" uri="{C3380CC4-5D6E-409C-BE32-E72D297353CC}">
                <c16:uniqueId val="{00000002-DE27-432B-B24B-A767728790EC}"/>
              </c:ext>
            </c:extLst>
          </c:dPt>
          <c:dPt>
            <c:idx val="4"/>
            <c:bubble3D val="0"/>
            <c:extLst>
              <c:ext xmlns:c16="http://schemas.microsoft.com/office/drawing/2014/chart" uri="{C3380CC4-5D6E-409C-BE32-E72D297353CC}">
                <c16:uniqueId val="{00000003-DE27-432B-B24B-A767728790EC}"/>
              </c:ext>
            </c:extLst>
          </c:dPt>
          <c:dPt>
            <c:idx val="5"/>
            <c:bubble3D val="0"/>
            <c:extLst>
              <c:ext xmlns:c16="http://schemas.microsoft.com/office/drawing/2014/chart" uri="{C3380CC4-5D6E-409C-BE32-E72D297353CC}">
                <c16:uniqueId val="{00000004-DE27-432B-B24B-A767728790EC}"/>
              </c:ext>
            </c:extLst>
          </c:dPt>
          <c:dPt>
            <c:idx val="6"/>
            <c:bubble3D val="0"/>
            <c:extLst>
              <c:ext xmlns:c16="http://schemas.microsoft.com/office/drawing/2014/chart" uri="{C3380CC4-5D6E-409C-BE32-E72D297353CC}">
                <c16:uniqueId val="{00000005-DE27-432B-B24B-A767728790EC}"/>
              </c:ext>
            </c:extLst>
          </c:dPt>
          <c:dPt>
            <c:idx val="7"/>
            <c:bubble3D val="0"/>
            <c:extLst>
              <c:ext xmlns:c16="http://schemas.microsoft.com/office/drawing/2014/chart" uri="{C3380CC4-5D6E-409C-BE32-E72D297353CC}">
                <c16:uniqueId val="{00000006-DE27-432B-B24B-A767728790EC}"/>
              </c:ext>
            </c:extLst>
          </c:dPt>
          <c:dPt>
            <c:idx val="8"/>
            <c:bubble3D val="0"/>
            <c:extLst>
              <c:ext xmlns:c16="http://schemas.microsoft.com/office/drawing/2014/chart" uri="{C3380CC4-5D6E-409C-BE32-E72D297353CC}">
                <c16:uniqueId val="{00000007-DE27-432B-B24B-A767728790EC}"/>
              </c:ext>
            </c:extLst>
          </c:dPt>
          <c:dPt>
            <c:idx val="9"/>
            <c:bubble3D val="0"/>
            <c:extLst>
              <c:ext xmlns:c16="http://schemas.microsoft.com/office/drawing/2014/chart" uri="{C3380CC4-5D6E-409C-BE32-E72D297353CC}">
                <c16:uniqueId val="{00000008-DE27-432B-B24B-A767728790EC}"/>
              </c:ext>
            </c:extLst>
          </c:dPt>
          <c:dLbls>
            <c:spPr>
              <a:noFill/>
              <a:ln>
                <a:noFill/>
              </a:ln>
              <a:effectLst/>
            </c:spPr>
            <c:txPr>
              <a:bodyPr wrap="square" lIns="38100" tIns="19050" rIns="38100" bIns="19050" anchor="ctr">
                <a:spAutoFit/>
              </a:bodyPr>
              <a:lstStyle/>
              <a:p>
                <a:pPr>
                  <a:defRPr sz="11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Breakdown'!$B$21:$B$30</c:f>
              <c:strCache>
                <c:ptCount val="10"/>
                <c:pt idx="0">
                  <c:v>Cost of positive active material, $/pack</c:v>
                </c:pt>
                <c:pt idx="1">
                  <c:v>Cost of negative active material, $/pack </c:v>
                </c:pt>
                <c:pt idx="2">
                  <c:v>Cost of carbon black, $/pack</c:v>
                </c:pt>
                <c:pt idx="3">
                  <c:v>Cost of positive current collector, $/pack</c:v>
                </c:pt>
                <c:pt idx="4">
                  <c:v>Cost of negative current collector, $/pack</c:v>
                </c:pt>
                <c:pt idx="5">
                  <c:v>Cost of separators, $/pack</c:v>
                </c:pt>
                <c:pt idx="6">
                  <c:v>Cost of electrolyte, $/pack</c:v>
                </c:pt>
                <c:pt idx="7">
                  <c:v>Cost of cell hardware, $/pack</c:v>
                </c:pt>
                <c:pt idx="8">
                  <c:v>Cost of module hardware, $/pack</c:v>
                </c:pt>
                <c:pt idx="9">
                  <c:v>Cost of battery jacket, $/pack</c:v>
                </c:pt>
              </c:strCache>
            </c:strRef>
          </c:cat>
          <c:val>
            <c:numRef>
              <c:f>'Cost Breakdown'!$G$21:$G$30</c:f>
              <c:numCache>
                <c:formatCode>_(* #,##0.00_);_(* \(#,##0.00\);_(* "-"??_);_(@_)</c:formatCode>
                <c:ptCount val="10"/>
                <c:pt idx="0">
                  <c:v>2402.7629075432037</c:v>
                </c:pt>
                <c:pt idx="1">
                  <c:v>0</c:v>
                </c:pt>
                <c:pt idx="2">
                  <c:v>80.813312922368496</c:v>
                </c:pt>
                <c:pt idx="3">
                  <c:v>140.76002491402679</c:v>
                </c:pt>
                <c:pt idx="4">
                  <c:v>593.68747134233399</c:v>
                </c:pt>
                <c:pt idx="5">
                  <c:v>8314.5628062475735</c:v>
                </c:pt>
                <c:pt idx="6">
                  <c:v>584.00279207257654</c:v>
                </c:pt>
                <c:pt idx="7">
                  <c:v>895.67745134761049</c:v>
                </c:pt>
                <c:pt idx="8">
                  <c:v>964.76082502884299</c:v>
                </c:pt>
                <c:pt idx="9">
                  <c:v>837.59378127691787</c:v>
                </c:pt>
              </c:numCache>
            </c:numRef>
          </c:val>
          <c:extLst>
            <c:ext xmlns:c16="http://schemas.microsoft.com/office/drawing/2014/chart" uri="{C3380CC4-5D6E-409C-BE32-E72D297353CC}">
              <c16:uniqueId val="{00000009-DE27-432B-B24B-A767728790EC}"/>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8427633772055865"/>
          <c:y val="0.20125786163522014"/>
          <c:w val="0.3862598625553485"/>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Breakdown of Costs to Basic Cost Factors</a:t>
            </a:r>
          </a:p>
          <a:p>
            <a:pPr>
              <a:defRPr/>
            </a:pPr>
            <a:r>
              <a:rPr lang="en-US"/>
              <a:t>Battery 1</a:t>
            </a:r>
          </a:p>
        </c:rich>
      </c:tx>
      <c:overlay val="0"/>
    </c:title>
    <c:autoTitleDeleted val="0"/>
    <c:plotArea>
      <c:layout>
        <c:manualLayout>
          <c:layoutTarget val="inner"/>
          <c:xMode val="edge"/>
          <c:yMode val="edge"/>
          <c:x val="9.1241321794885685E-2"/>
          <c:y val="0.2272626819547629"/>
          <c:w val="0.32508269341160417"/>
          <c:h val="0.68453328924036561"/>
        </c:manualLayout>
      </c:layout>
      <c:pieChart>
        <c:varyColors val="1"/>
        <c:ser>
          <c:idx val="0"/>
          <c:order val="0"/>
          <c:dLbls>
            <c:dLbl>
              <c:idx val="0"/>
              <c:tx>
                <c:rich>
                  <a:bodyPr/>
                  <a:lstStyle/>
                  <a:p>
                    <a:r>
                      <a:rPr lang="en-US"/>
                      <a:t>Materials
36%</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0-CB3A-49AE-AC1A-2E8227A43794}"/>
                </c:ext>
              </c:extLst>
            </c:dLbl>
            <c:dLbl>
              <c:idx val="1"/>
              <c:tx>
                <c:rich>
                  <a:bodyPr/>
                  <a:lstStyle/>
                  <a:p>
                    <a:r>
                      <a:rPr lang="en-US"/>
                      <a:t>Purchased items</a:t>
                    </a:r>
                    <a:r>
                      <a:rPr lang="en-US" baseline="0"/>
                      <a:t> </a:t>
                    </a:r>
                    <a:r>
                      <a:rPr lang="en-US"/>
                      <a:t>
23%</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CB3A-49AE-AC1A-2E8227A43794}"/>
                </c:ext>
              </c:extLst>
            </c:dLbl>
            <c:dLbl>
              <c:idx val="2"/>
              <c:tx>
                <c:rich>
                  <a:bodyPr/>
                  <a:lstStyle/>
                  <a:p>
                    <a:r>
                      <a:rPr lang="en-US"/>
                      <a:t>Labor
12%</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2-CB3A-49AE-AC1A-2E8227A43794}"/>
                </c:ext>
              </c:extLst>
            </c:dLbl>
            <c:dLbl>
              <c:idx val="3"/>
              <c:tx>
                <c:rich>
                  <a:bodyPr/>
                  <a:lstStyle/>
                  <a:p>
                    <a:r>
                      <a:rPr lang="en-US"/>
                      <a:t>Capital Equipment and Building
29%</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CB3A-49AE-AC1A-2E8227A43794}"/>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Breakdown'!$B$92:$B$95</c:f>
              <c:strCache>
                <c:ptCount val="4"/>
                <c:pt idx="0">
                  <c:v>Materials</c:v>
                </c:pt>
                <c:pt idx="1">
                  <c:v>Purchased items</c:v>
                </c:pt>
                <c:pt idx="2">
                  <c:v>Labor</c:v>
                </c:pt>
                <c:pt idx="3">
                  <c:v>Capital Equipment and Building</c:v>
                </c:pt>
              </c:strCache>
            </c:strRef>
          </c:cat>
          <c:val>
            <c:numRef>
              <c:f>'Cost Breakdown'!$G$92:$G$95</c:f>
              <c:numCache>
                <c:formatCode>_(* #,##0_);_(* \(#,##0\);_(* "-"??_);_(@_)</c:formatCode>
                <c:ptCount val="4"/>
                <c:pt idx="0">
                  <c:v>12923.069499851279</c:v>
                </c:pt>
                <c:pt idx="1">
                  <c:v>2877.6130714107785</c:v>
                </c:pt>
                <c:pt idx="2">
                  <c:v>4507.6509174477269</c:v>
                </c:pt>
                <c:pt idx="3">
                  <c:v>6006.3990930958271</c:v>
                </c:pt>
              </c:numCache>
            </c:numRef>
          </c:val>
          <c:extLst>
            <c:ext xmlns:c16="http://schemas.microsoft.com/office/drawing/2014/chart" uri="{C3380CC4-5D6E-409C-BE32-E72D297353CC}">
              <c16:uniqueId val="{00000004-CB3A-49AE-AC1A-2E8227A43794}"/>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5-CB3A-49AE-AC1A-2E8227A43794}"/>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6-CB3A-49AE-AC1A-2E8227A43794}"/>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7-CB3A-49AE-AC1A-2E8227A43794}"/>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8-CB3A-49AE-AC1A-2E8227A43794}"/>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9-CB3A-49AE-AC1A-2E8227A43794}"/>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A-CB3A-49AE-AC1A-2E8227A43794}"/>
            </c:ext>
          </c:extLst>
        </c:ser>
        <c:ser>
          <c:idx val="7"/>
          <c:order val="7"/>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B-CB3A-49AE-AC1A-2E8227A43794}"/>
            </c:ext>
          </c:extLst>
        </c:ser>
        <c:ser>
          <c:idx val="8"/>
          <c:order val="8"/>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C-CB3A-49AE-AC1A-2E8227A43794}"/>
            </c:ext>
          </c:extLst>
        </c:ser>
        <c:ser>
          <c:idx val="9"/>
          <c:order val="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D-CB3A-49AE-AC1A-2E8227A43794}"/>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400" b="1"/>
      </a:pPr>
      <a:endParaRPr lang="en-US"/>
    </a:p>
  </c:txPr>
  <c:printSettings>
    <c:headerFooter/>
    <c:pageMargins b="0.75" l="0.7" r="0.7" t="0.75" header="0.3" footer="0.3"/>
    <c:pageSetup orientation="portrait"/>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Breakdown of Costs to Basic Cost Factors</a:t>
            </a:r>
          </a:p>
          <a:p>
            <a:pPr>
              <a:defRPr sz="1600"/>
            </a:pPr>
            <a:r>
              <a:rPr lang="en-US" sz="1600"/>
              <a:t>Battery 7</a:t>
            </a:r>
          </a:p>
        </c:rich>
      </c:tx>
      <c:overlay val="0"/>
    </c:title>
    <c:autoTitleDeleted val="0"/>
    <c:plotArea>
      <c:layout>
        <c:manualLayout>
          <c:layoutTarget val="inner"/>
          <c:xMode val="edge"/>
          <c:yMode val="edge"/>
          <c:x val="7.8684969306968042E-2"/>
          <c:y val="0.19407072062604086"/>
          <c:w val="0.34981702749168675"/>
          <c:h val="0.6996340549833735"/>
        </c:manualLayout>
      </c:layout>
      <c:pieChart>
        <c:varyColors val="1"/>
        <c:ser>
          <c:idx val="10"/>
          <c:order val="10"/>
          <c:dLbls>
            <c:dLbl>
              <c:idx val="0"/>
              <c:tx>
                <c:rich>
                  <a:bodyPr/>
                  <a:lstStyle/>
                  <a:p>
                    <a:r>
                      <a:rPr lang="en-US"/>
                      <a:t>Materials
52%</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0-0A98-4D9E-AF47-441862F8A3C0}"/>
                </c:ext>
              </c:extLst>
            </c:dLbl>
            <c:dLbl>
              <c:idx val="1"/>
              <c:tx>
                <c:rich>
                  <a:bodyPr/>
                  <a:lstStyle/>
                  <a:p>
                    <a:r>
                      <a:rPr lang="en-US"/>
                      <a:t>Purchased items
17%</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0A98-4D9E-AF47-441862F8A3C0}"/>
                </c:ext>
              </c:extLst>
            </c:dLbl>
            <c:dLbl>
              <c:idx val="2"/>
              <c:tx>
                <c:rich>
                  <a:bodyPr/>
                  <a:lstStyle/>
                  <a:p>
                    <a:r>
                      <a:rPr lang="en-US"/>
                      <a:t>Labor
8%</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2-0A98-4D9E-AF47-441862F8A3C0}"/>
                </c:ext>
              </c:extLst>
            </c:dLbl>
            <c:dLbl>
              <c:idx val="3"/>
              <c:tx>
                <c:rich>
                  <a:bodyPr/>
                  <a:lstStyle/>
                  <a:p>
                    <a:r>
                      <a:rPr lang="en-US"/>
                      <a:t>Capital Equipment and Building
23%</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0A98-4D9E-AF47-441862F8A3C0}"/>
                </c:ext>
              </c:extLst>
            </c:dLbl>
            <c:spPr>
              <a:noFill/>
              <a:ln>
                <a:noFill/>
              </a:ln>
              <a:effectLst/>
            </c:spPr>
            <c:txPr>
              <a:bodyPr/>
              <a:lstStyle/>
              <a:p>
                <a:pPr>
                  <a:defRPr sz="1400"/>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Breakdown'!$B$92:$B$95</c:f>
              <c:strCache>
                <c:ptCount val="4"/>
                <c:pt idx="0">
                  <c:v>Materials</c:v>
                </c:pt>
                <c:pt idx="1">
                  <c:v>Purchased items</c:v>
                </c:pt>
                <c:pt idx="2">
                  <c:v>Labor</c:v>
                </c:pt>
                <c:pt idx="3">
                  <c:v>Capital Equipment and Building</c:v>
                </c:pt>
              </c:strCache>
            </c:strRef>
          </c:cat>
          <c:val>
            <c:numRef>
              <c:f>'Cost Breakdown'!$M$92:$M$95</c:f>
              <c:numCache>
                <c:formatCode>_(* #,##0_);_(* \(#,##0\);_(* "-"??_);_(@_)</c:formatCode>
                <c:ptCount val="4"/>
                <c:pt idx="0">
                  <c:v>11977.327279281853</c:v>
                </c:pt>
                <c:pt idx="1">
                  <c:v>2171.9997739153723</c:v>
                </c:pt>
                <c:pt idx="2">
                  <c:v>520.98257343679438</c:v>
                </c:pt>
                <c:pt idx="3">
                  <c:v>1364.8829425991307</c:v>
                </c:pt>
              </c:numCache>
            </c:numRef>
          </c:val>
          <c:extLst>
            <c:ext xmlns:c16="http://schemas.microsoft.com/office/drawing/2014/chart" uri="{C3380CC4-5D6E-409C-BE32-E72D297353CC}">
              <c16:uniqueId val="{00000004-0A98-4D9E-AF47-441862F8A3C0}"/>
            </c:ext>
          </c:extLst>
        </c:ser>
        <c:ser>
          <c:idx val="11"/>
          <c:order val="1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5-0A98-4D9E-AF47-441862F8A3C0}"/>
            </c:ext>
          </c:extLst>
        </c:ser>
        <c:ser>
          <c:idx val="12"/>
          <c:order val="1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6-0A98-4D9E-AF47-441862F8A3C0}"/>
            </c:ext>
          </c:extLst>
        </c:ser>
        <c:ser>
          <c:idx val="13"/>
          <c:order val="1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7-0A98-4D9E-AF47-441862F8A3C0}"/>
            </c:ext>
          </c:extLst>
        </c:ser>
        <c:ser>
          <c:idx val="14"/>
          <c:order val="1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8-0A98-4D9E-AF47-441862F8A3C0}"/>
            </c:ext>
          </c:extLst>
        </c:ser>
        <c:ser>
          <c:idx val="15"/>
          <c:order val="1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9-0A98-4D9E-AF47-441862F8A3C0}"/>
            </c:ext>
          </c:extLst>
        </c:ser>
        <c:ser>
          <c:idx val="16"/>
          <c:order val="1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A-0A98-4D9E-AF47-441862F8A3C0}"/>
            </c:ext>
          </c:extLst>
        </c:ser>
        <c:ser>
          <c:idx val="17"/>
          <c:order val="17"/>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B-0A98-4D9E-AF47-441862F8A3C0}"/>
            </c:ext>
          </c:extLst>
        </c:ser>
        <c:ser>
          <c:idx val="18"/>
          <c:order val="18"/>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C-0A98-4D9E-AF47-441862F8A3C0}"/>
            </c:ext>
          </c:extLst>
        </c:ser>
        <c:ser>
          <c:idx val="19"/>
          <c:order val="1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D-0A98-4D9E-AF47-441862F8A3C0}"/>
            </c:ext>
          </c:extLst>
        </c:ser>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Breakdown'!$B$92:$B$95</c:f>
              <c:strCache>
                <c:ptCount val="4"/>
                <c:pt idx="0">
                  <c:v>Materials</c:v>
                </c:pt>
                <c:pt idx="1">
                  <c:v>Purchased items</c:v>
                </c:pt>
                <c:pt idx="2">
                  <c:v>Labor</c:v>
                </c:pt>
                <c:pt idx="3">
                  <c:v>Capital Equipment and Building</c:v>
                </c:pt>
              </c:strCache>
            </c:strRef>
          </c:cat>
          <c:val>
            <c:numRef>
              <c:f>'Cost Breakdown'!$G$92:$G$95</c:f>
              <c:numCache>
                <c:formatCode>_(* #,##0_);_(* \(#,##0\);_(* "-"??_);_(@_)</c:formatCode>
                <c:ptCount val="4"/>
                <c:pt idx="0">
                  <c:v>12923.069499851279</c:v>
                </c:pt>
                <c:pt idx="1">
                  <c:v>2877.6130714107785</c:v>
                </c:pt>
                <c:pt idx="2">
                  <c:v>4507.6509174477269</c:v>
                </c:pt>
                <c:pt idx="3">
                  <c:v>6006.3990930958271</c:v>
                </c:pt>
              </c:numCache>
            </c:numRef>
          </c:val>
          <c:extLst>
            <c:ext xmlns:c16="http://schemas.microsoft.com/office/drawing/2014/chart" uri="{C3380CC4-5D6E-409C-BE32-E72D297353CC}">
              <c16:uniqueId val="{0000000E-0A98-4D9E-AF47-441862F8A3C0}"/>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F-0A98-4D9E-AF47-441862F8A3C0}"/>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0-0A98-4D9E-AF47-441862F8A3C0}"/>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1-0A98-4D9E-AF47-441862F8A3C0}"/>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2-0A98-4D9E-AF47-441862F8A3C0}"/>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3-0A98-4D9E-AF47-441862F8A3C0}"/>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4-0A98-4D9E-AF47-441862F8A3C0}"/>
            </c:ext>
          </c:extLst>
        </c:ser>
        <c:ser>
          <c:idx val="7"/>
          <c:order val="7"/>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5-0A98-4D9E-AF47-441862F8A3C0}"/>
            </c:ext>
          </c:extLst>
        </c:ser>
        <c:ser>
          <c:idx val="8"/>
          <c:order val="8"/>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6-0A98-4D9E-AF47-441862F8A3C0}"/>
            </c:ext>
          </c:extLst>
        </c:ser>
        <c:ser>
          <c:idx val="9"/>
          <c:order val="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7-0A98-4D9E-AF47-441862F8A3C0}"/>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200" b="1"/>
      </a:pPr>
      <a:endParaRPr lang="en-US"/>
    </a:p>
  </c:txPr>
  <c:printSettings>
    <c:headerFooter/>
    <c:pageMargins b="0.75" l="0.7" r="0.7" t="0.75" header="0.3" footer="0.3"/>
    <c:pageSetup orientation="portrait"/>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Cost Breakdown with Overhead Distributed to the Cost of Materials</a:t>
            </a:r>
            <a:r>
              <a:rPr lang="en-US" sz="1600" baseline="0"/>
              <a:t>, Purchased Items and the Manufacturing </a:t>
            </a:r>
            <a:r>
              <a:rPr lang="en-US" sz="1600"/>
              <a:t>Processes</a:t>
            </a:r>
          </a:p>
          <a:p>
            <a:pPr>
              <a:defRPr sz="1600"/>
            </a:pPr>
            <a:r>
              <a:rPr lang="en-US" sz="1600"/>
              <a:t>Battery 1</a:t>
            </a:r>
          </a:p>
        </c:rich>
      </c:tx>
      <c:overlay val="0"/>
    </c:title>
    <c:autoTitleDeleted val="0"/>
    <c:plotArea>
      <c:layout>
        <c:manualLayout>
          <c:layoutTarget val="inner"/>
          <c:xMode val="edge"/>
          <c:yMode val="edge"/>
          <c:x val="5.0727702292762862E-2"/>
          <c:y val="0.2875928557710774"/>
          <c:w val="0.34559455725928995"/>
          <c:h val="0.57098244231026873"/>
        </c:manualLayout>
      </c:layout>
      <c:pieChart>
        <c:varyColors val="1"/>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Breakdown'!$B$98:$B$107</c:f>
              <c:strCache>
                <c:ptCount val="10"/>
                <c:pt idx="0">
                  <c:v>Cost of materials</c:v>
                </c:pt>
                <c:pt idx="1">
                  <c:v>Cost of purchased items</c:v>
                </c:pt>
                <c:pt idx="2">
                  <c:v>Cost of manufacturing</c:v>
                </c:pt>
                <c:pt idx="3">
                  <c:v>Cost of electrode processing</c:v>
                </c:pt>
                <c:pt idx="4">
                  <c:v>Cost of cell assembly</c:v>
                </c:pt>
                <c:pt idx="5">
                  <c:v>Cost of formation cycling, testing and sealing</c:v>
                </c:pt>
                <c:pt idx="6">
                  <c:v>Cost of module and battery assembly</c:v>
                </c:pt>
                <c:pt idx="7">
                  <c:v>Cost of cell and materials rejection and recycling</c:v>
                </c:pt>
                <c:pt idx="8">
                  <c:v>Cost of receiving and shipping</c:v>
                </c:pt>
                <c:pt idx="9">
                  <c:v>Cost of control laboratory</c:v>
                </c:pt>
              </c:strCache>
            </c:strRef>
          </c:cat>
          <c:val>
            <c:numRef>
              <c:f>'Cost Breakdown'!$G$98:$G$107</c:f>
              <c:numCache>
                <c:formatCode>_(* #,##0_);_(* \(#,##0\);_(* "-"??_);_(@_)</c:formatCode>
                <c:ptCount val="10"/>
                <c:pt idx="0">
                  <c:v>12923.069499851279</c:v>
                </c:pt>
                <c:pt idx="1">
                  <c:v>2877.6130714107785</c:v>
                </c:pt>
                <c:pt idx="3">
                  <c:v>2037.5965236967779</c:v>
                </c:pt>
                <c:pt idx="4">
                  <c:v>2380.0142006038104</c:v>
                </c:pt>
                <c:pt idx="5">
                  <c:v>2301.8507596979907</c:v>
                </c:pt>
                <c:pt idx="6">
                  <c:v>1656.4028264056135</c:v>
                </c:pt>
                <c:pt idx="7">
                  <c:v>109.04397661377755</c:v>
                </c:pt>
                <c:pt idx="8">
                  <c:v>1552.1209761174011</c:v>
                </c:pt>
                <c:pt idx="9">
                  <c:v>477.02074740818341</c:v>
                </c:pt>
              </c:numCache>
            </c:numRef>
          </c:val>
          <c:extLst>
            <c:ext xmlns:c16="http://schemas.microsoft.com/office/drawing/2014/chart" uri="{C3380CC4-5D6E-409C-BE32-E72D297353CC}">
              <c16:uniqueId val="{00000000-7CB1-4C1F-8E7E-538D80DA4819}"/>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0419590910309816"/>
          <c:y val="0.20619907363937559"/>
          <c:w val="0.55063418567946232"/>
          <c:h val="0.78684437616029701"/>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7</a:t>
            </a:r>
          </a:p>
        </c:rich>
      </c:tx>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dPt>
            <c:idx val="1"/>
            <c:bubble3D val="0"/>
            <c:extLst>
              <c:ext xmlns:c16="http://schemas.microsoft.com/office/drawing/2014/chart" uri="{C3380CC4-5D6E-409C-BE32-E72D297353CC}">
                <c16:uniqueId val="{00000000-E700-4C52-81CB-20428CD7AB01}"/>
              </c:ext>
            </c:extLst>
          </c:dPt>
          <c:dPt>
            <c:idx val="2"/>
            <c:bubble3D val="0"/>
            <c:extLst>
              <c:ext xmlns:c16="http://schemas.microsoft.com/office/drawing/2014/chart" uri="{C3380CC4-5D6E-409C-BE32-E72D297353CC}">
                <c16:uniqueId val="{00000001-E700-4C52-81CB-20428CD7AB01}"/>
              </c:ext>
            </c:extLst>
          </c:dPt>
          <c:dPt>
            <c:idx val="3"/>
            <c:bubble3D val="0"/>
            <c:extLst>
              <c:ext xmlns:c16="http://schemas.microsoft.com/office/drawing/2014/chart" uri="{C3380CC4-5D6E-409C-BE32-E72D297353CC}">
                <c16:uniqueId val="{00000002-E700-4C52-81CB-20428CD7AB01}"/>
              </c:ext>
            </c:extLst>
          </c:dPt>
          <c:dPt>
            <c:idx val="4"/>
            <c:bubble3D val="0"/>
            <c:extLst>
              <c:ext xmlns:c16="http://schemas.microsoft.com/office/drawing/2014/chart" uri="{C3380CC4-5D6E-409C-BE32-E72D297353CC}">
                <c16:uniqueId val="{00000003-E700-4C52-81CB-20428CD7AB01}"/>
              </c:ext>
            </c:extLst>
          </c:dPt>
          <c:dPt>
            <c:idx val="5"/>
            <c:bubble3D val="0"/>
            <c:extLst>
              <c:ext xmlns:c16="http://schemas.microsoft.com/office/drawing/2014/chart" uri="{C3380CC4-5D6E-409C-BE32-E72D297353CC}">
                <c16:uniqueId val="{00000004-E700-4C52-81CB-20428CD7AB01}"/>
              </c:ext>
            </c:extLst>
          </c:dPt>
          <c:dPt>
            <c:idx val="6"/>
            <c:bubble3D val="0"/>
            <c:extLst>
              <c:ext xmlns:c16="http://schemas.microsoft.com/office/drawing/2014/chart" uri="{C3380CC4-5D6E-409C-BE32-E72D297353CC}">
                <c16:uniqueId val="{00000005-E700-4C52-81CB-20428CD7AB01}"/>
              </c:ext>
            </c:extLst>
          </c:dPt>
          <c:dPt>
            <c:idx val="7"/>
            <c:bubble3D val="0"/>
            <c:extLst>
              <c:ext xmlns:c16="http://schemas.microsoft.com/office/drawing/2014/chart" uri="{C3380CC4-5D6E-409C-BE32-E72D297353CC}">
                <c16:uniqueId val="{00000006-E700-4C52-81CB-20428CD7AB01}"/>
              </c:ext>
            </c:extLst>
          </c:dPt>
          <c:dPt>
            <c:idx val="8"/>
            <c:bubble3D val="0"/>
            <c:extLst>
              <c:ext xmlns:c16="http://schemas.microsoft.com/office/drawing/2014/chart" uri="{C3380CC4-5D6E-409C-BE32-E72D297353CC}">
                <c16:uniqueId val="{00000007-E700-4C52-81CB-20428CD7AB0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'Summary of Results'!$B$89:$B$97</c:f>
              <c:strCache>
                <c:ptCount val="9"/>
                <c:pt idx="0">
                  <c:v>Total cost of materials, $/pack</c:v>
                </c:pt>
                <c:pt idx="1">
                  <c:v>Total cost of purchased items, $/pack </c:v>
                </c:pt>
                <c:pt idx="2">
                  <c:v>Total cost of direct labor, $/pack                    </c:v>
                </c:pt>
                <c:pt idx="3">
                  <c:v>Cost of variable overhead, $/pack  </c:v>
                </c:pt>
                <c:pt idx="4">
                  <c:v>Cost of general, sales, administration, $/pack</c:v>
                </c:pt>
                <c:pt idx="5">
                  <c:v>Cost of research and development, $/pack</c:v>
                </c:pt>
                <c:pt idx="6">
                  <c:v>Cost of depreciation, $/pack</c:v>
                </c:pt>
                <c:pt idx="7">
                  <c:v>Per unit profit, $/pack </c:v>
                </c:pt>
                <c:pt idx="8">
                  <c:v>Warranty (includes battery pack(s) only), $/pack</c:v>
                </c:pt>
              </c:strCache>
            </c:strRef>
          </c:cat>
          <c:val>
            <c:numRef>
              <c:f>'Summary of Results'!$M$89:$M$97</c:f>
              <c:numCache>
                <c:formatCode>_(* #,##0_);_(* \(#,##0\);_(* "-"??_);_(@_)</c:formatCode>
                <c:ptCount val="9"/>
                <c:pt idx="0">
                  <c:v>11229.867311057849</c:v>
                </c:pt>
                <c:pt idx="1">
                  <c:v>2036.4534333890015</c:v>
                </c:pt>
                <c:pt idx="2">
                  <c:v>279.12571977026022</c:v>
                </c:pt>
                <c:pt idx="3">
                  <c:v>225.97355519649275</c:v>
                </c:pt>
                <c:pt idx="4">
                  <c:v>269.17890285217408</c:v>
                </c:pt>
                <c:pt idx="5">
                  <c:v>228.64653457677733</c:v>
                </c:pt>
                <c:pt idx="6">
                  <c:v>571.6163364419433</c:v>
                </c:pt>
                <c:pt idx="7">
                  <c:v>343.97965485296527</c:v>
                </c:pt>
                <c:pt idx="8">
                  <c:v>850.35112109569775</c:v>
                </c:pt>
              </c:numCache>
            </c:numRef>
          </c:val>
          <c:extLst>
            <c:ext xmlns:c16="http://schemas.microsoft.com/office/drawing/2014/chart" uri="{C3380CC4-5D6E-409C-BE32-E72D297353CC}">
              <c16:uniqueId val="{00000008-E700-4C52-81CB-20428CD7AB01}"/>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5319145576117059"/>
          <c:y val="0.19032174634841109"/>
          <c:w val="0.53576609782982898"/>
          <c:h val="0.79979127271629014"/>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7</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dPt>
            <c:idx val="1"/>
            <c:bubble3D val="0"/>
            <c:extLst>
              <c:ext xmlns:c16="http://schemas.microsoft.com/office/drawing/2014/chart" uri="{C3380CC4-5D6E-409C-BE32-E72D297353CC}">
                <c16:uniqueId val="{00000000-3BA1-49AC-B91F-7F6350E5DACF}"/>
              </c:ext>
            </c:extLst>
          </c:dPt>
          <c:dPt>
            <c:idx val="2"/>
            <c:bubble3D val="0"/>
            <c:extLst>
              <c:ext xmlns:c16="http://schemas.microsoft.com/office/drawing/2014/chart" uri="{C3380CC4-5D6E-409C-BE32-E72D297353CC}">
                <c16:uniqueId val="{00000001-3BA1-49AC-B91F-7F6350E5DACF}"/>
              </c:ext>
            </c:extLst>
          </c:dPt>
          <c:dPt>
            <c:idx val="3"/>
            <c:bubble3D val="0"/>
            <c:extLst>
              <c:ext xmlns:c16="http://schemas.microsoft.com/office/drawing/2014/chart" uri="{C3380CC4-5D6E-409C-BE32-E72D297353CC}">
                <c16:uniqueId val="{00000002-3BA1-49AC-B91F-7F6350E5DACF}"/>
              </c:ext>
            </c:extLst>
          </c:dPt>
          <c:dPt>
            <c:idx val="4"/>
            <c:bubble3D val="0"/>
            <c:extLst>
              <c:ext xmlns:c16="http://schemas.microsoft.com/office/drawing/2014/chart" uri="{C3380CC4-5D6E-409C-BE32-E72D297353CC}">
                <c16:uniqueId val="{00000003-3BA1-49AC-B91F-7F6350E5DACF}"/>
              </c:ext>
            </c:extLst>
          </c:dPt>
          <c:dPt>
            <c:idx val="5"/>
            <c:bubble3D val="0"/>
            <c:extLst>
              <c:ext xmlns:c16="http://schemas.microsoft.com/office/drawing/2014/chart" uri="{C3380CC4-5D6E-409C-BE32-E72D297353CC}">
                <c16:uniqueId val="{00000004-3BA1-49AC-B91F-7F6350E5DACF}"/>
              </c:ext>
            </c:extLst>
          </c:dPt>
          <c:dPt>
            <c:idx val="6"/>
            <c:bubble3D val="0"/>
            <c:extLst>
              <c:ext xmlns:c16="http://schemas.microsoft.com/office/drawing/2014/chart" uri="{C3380CC4-5D6E-409C-BE32-E72D297353CC}">
                <c16:uniqueId val="{00000005-3BA1-49AC-B91F-7F6350E5DACF}"/>
              </c:ext>
            </c:extLst>
          </c:dPt>
          <c:dPt>
            <c:idx val="7"/>
            <c:bubble3D val="0"/>
            <c:extLst>
              <c:ext xmlns:c16="http://schemas.microsoft.com/office/drawing/2014/chart" uri="{C3380CC4-5D6E-409C-BE32-E72D297353CC}">
                <c16:uniqueId val="{00000006-3BA1-49AC-B91F-7F6350E5DACF}"/>
              </c:ext>
            </c:extLst>
          </c:dPt>
          <c:dPt>
            <c:idx val="8"/>
            <c:bubble3D val="0"/>
            <c:extLst>
              <c:ext xmlns:c16="http://schemas.microsoft.com/office/drawing/2014/chart" uri="{C3380CC4-5D6E-409C-BE32-E72D297353CC}">
                <c16:uniqueId val="{00000007-3BA1-49AC-B91F-7F6350E5DACF}"/>
              </c:ext>
            </c:extLst>
          </c:dPt>
          <c:dPt>
            <c:idx val="9"/>
            <c:bubble3D val="0"/>
            <c:extLst>
              <c:ext xmlns:c16="http://schemas.microsoft.com/office/drawing/2014/chart" uri="{C3380CC4-5D6E-409C-BE32-E72D297353CC}">
                <c16:uniqueId val="{00000008-3BA1-49AC-B91F-7F6350E5DACF}"/>
              </c:ext>
            </c:extLst>
          </c:dPt>
          <c:dLbls>
            <c:numFmt formatCode="0%" sourceLinked="0"/>
            <c:spPr>
              <a:noFill/>
              <a:ln w="25400">
                <a:noFill/>
              </a:ln>
            </c:spPr>
            <c:txPr>
              <a:bodyPr wrap="square" lIns="38100" tIns="19050" rIns="38100" bIns="19050" anchor="ctr">
                <a:spAutoFit/>
              </a:bodyPr>
              <a:lstStyle/>
              <a:p>
                <a:pPr>
                  <a:defRPr sz="10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Breakdown'!$B$21:$B$30</c:f>
              <c:strCache>
                <c:ptCount val="10"/>
                <c:pt idx="0">
                  <c:v>Cost of positive active material, $/pack</c:v>
                </c:pt>
                <c:pt idx="1">
                  <c:v>Cost of negative active material, $/pack </c:v>
                </c:pt>
                <c:pt idx="2">
                  <c:v>Cost of carbon black, $/pack</c:v>
                </c:pt>
                <c:pt idx="3">
                  <c:v>Cost of positive current collector, $/pack</c:v>
                </c:pt>
                <c:pt idx="4">
                  <c:v>Cost of negative current collector, $/pack</c:v>
                </c:pt>
                <c:pt idx="5">
                  <c:v>Cost of separators, $/pack</c:v>
                </c:pt>
                <c:pt idx="6">
                  <c:v>Cost of electrolyte, $/pack</c:v>
                </c:pt>
                <c:pt idx="7">
                  <c:v>Cost of cell hardware, $/pack</c:v>
                </c:pt>
                <c:pt idx="8">
                  <c:v>Cost of module hardware, $/pack</c:v>
                </c:pt>
                <c:pt idx="9">
                  <c:v>Cost of battery jacket, $/pack</c:v>
                </c:pt>
              </c:strCache>
            </c:strRef>
          </c:cat>
          <c:val>
            <c:numRef>
              <c:f>'Cost Breakdown'!$M$21:$M$30</c:f>
              <c:numCache>
                <c:formatCode>_(* #,##0.00_);_(* \(#,##0.00\);_(* "-"??_);_(@_)</c:formatCode>
                <c:ptCount val="10"/>
                <c:pt idx="0">
                  <c:v>1516.0409035589682</c:v>
                </c:pt>
                <c:pt idx="1">
                  <c:v>0</c:v>
                </c:pt>
                <c:pt idx="2">
                  <c:v>80.813312922368496</c:v>
                </c:pt>
                <c:pt idx="3">
                  <c:v>140.76002491402679</c:v>
                </c:pt>
                <c:pt idx="4">
                  <c:v>593.68747134233399</c:v>
                </c:pt>
                <c:pt idx="5">
                  <c:v>8314.5628062475735</c:v>
                </c:pt>
                <c:pt idx="6">
                  <c:v>584.00279207257654</c:v>
                </c:pt>
                <c:pt idx="7">
                  <c:v>356.57561588456497</c:v>
                </c:pt>
                <c:pt idx="8">
                  <c:v>842.28403622751841</c:v>
                </c:pt>
                <c:pt idx="9">
                  <c:v>837.59378127691787</c:v>
                </c:pt>
              </c:numCache>
            </c:numRef>
          </c:val>
          <c:extLst>
            <c:ext xmlns:c16="http://schemas.microsoft.com/office/drawing/2014/chart" uri="{C3380CC4-5D6E-409C-BE32-E72D297353CC}">
              <c16:uniqueId val="{00000009-3BA1-49AC-B91F-7F6350E5DACF}"/>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7298602997206005"/>
          <c:y val="0.22290880419379244"/>
          <c:w val="0.41690500381000761"/>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Cost Breakdown with Overhead Distributed to the Cost of Materials, Purchased Items and the Manufacturing Processes</a:t>
            </a:r>
            <a:endParaRPr lang="en-US">
              <a:effectLst/>
            </a:endParaRPr>
          </a:p>
          <a:p>
            <a:pPr>
              <a:defRPr/>
            </a:pPr>
            <a:r>
              <a:rPr lang="en-US"/>
              <a:t>Battery 7</a:t>
            </a:r>
          </a:p>
        </c:rich>
      </c:tx>
      <c:layout>
        <c:manualLayout>
          <c:xMode val="edge"/>
          <c:yMode val="edge"/>
          <c:x val="0.15751448307735011"/>
          <c:y val="0"/>
        </c:manualLayout>
      </c:layout>
      <c:overlay val="0"/>
    </c:title>
    <c:autoTitleDeleted val="0"/>
    <c:plotArea>
      <c:layout>
        <c:manualLayout>
          <c:layoutTarget val="inner"/>
          <c:xMode val="edge"/>
          <c:yMode val="edge"/>
          <c:x val="0.1043506248012652"/>
          <c:y val="0.39570085299880625"/>
          <c:w val="0.34559455725928995"/>
          <c:h val="0.57098244231026873"/>
        </c:manualLayout>
      </c:layout>
      <c:pieChart>
        <c:varyColors val="1"/>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Breakdown'!$B$98:$B$107</c:f>
              <c:strCache>
                <c:ptCount val="10"/>
                <c:pt idx="0">
                  <c:v>Cost of materials</c:v>
                </c:pt>
                <c:pt idx="1">
                  <c:v>Cost of purchased items</c:v>
                </c:pt>
                <c:pt idx="2">
                  <c:v>Cost of manufacturing</c:v>
                </c:pt>
                <c:pt idx="3">
                  <c:v>Cost of electrode processing</c:v>
                </c:pt>
                <c:pt idx="4">
                  <c:v>Cost of cell assembly</c:v>
                </c:pt>
                <c:pt idx="5">
                  <c:v>Cost of formation cycling, testing and sealing</c:v>
                </c:pt>
                <c:pt idx="6">
                  <c:v>Cost of module and battery assembly</c:v>
                </c:pt>
                <c:pt idx="7">
                  <c:v>Cost of cell and materials rejection and recycling</c:v>
                </c:pt>
                <c:pt idx="8">
                  <c:v>Cost of receiving and shipping</c:v>
                </c:pt>
                <c:pt idx="9">
                  <c:v>Cost of control laboratory</c:v>
                </c:pt>
              </c:strCache>
            </c:strRef>
          </c:cat>
          <c:val>
            <c:numRef>
              <c:f>'Cost Breakdown'!$M$98:$M$107</c:f>
              <c:numCache>
                <c:formatCode>_(* #,##0_);_(* \(#,##0\);_(* "-"??_);_(@_)</c:formatCode>
                <c:ptCount val="10"/>
                <c:pt idx="0">
                  <c:v>11977.327279281853</c:v>
                </c:pt>
                <c:pt idx="1">
                  <c:v>2171.9997739153723</c:v>
                </c:pt>
                <c:pt idx="3">
                  <c:v>359.43712248262784</c:v>
                </c:pt>
                <c:pt idx="4">
                  <c:v>431.61326772658686</c:v>
                </c:pt>
                <c:pt idx="5">
                  <c:v>508.39151109725202</c:v>
                </c:pt>
                <c:pt idx="6">
                  <c:v>261.9396731017053</c:v>
                </c:pt>
                <c:pt idx="7">
                  <c:v>23.737073959513747</c:v>
                </c:pt>
                <c:pt idx="8">
                  <c:v>235.21157242012026</c:v>
                </c:pt>
                <c:pt idx="9">
                  <c:v>65.535295248119056</c:v>
                </c:pt>
              </c:numCache>
            </c:numRef>
          </c:val>
          <c:extLst>
            <c:ext xmlns:c16="http://schemas.microsoft.com/office/drawing/2014/chart" uri="{C3380CC4-5D6E-409C-BE32-E72D297353CC}">
              <c16:uniqueId val="{00000000-8A8B-416F-BFDB-A6570200AFE7}"/>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39390653883174676"/>
          <c:y val="0.27499512468929566"/>
          <c:w val="0.55063418567946232"/>
          <c:h val="0.6590803564703368"/>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image" Target="../media/image6.emf"/></Relationships>
</file>

<file path=xl/drawings/_rels/drawing6.xml.rels><?xml version="1.0" encoding="UTF-8" standalone="yes"?>
<Relationships xmlns="http://schemas.openxmlformats.org/package/2006/relationships"><Relationship Id="rId1" Type="http://schemas.openxmlformats.org/officeDocument/2006/relationships/image" Target="../media/image8.emf"/></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5.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0</xdr:col>
      <xdr:colOff>10591</xdr:colOff>
      <xdr:row>0</xdr:row>
      <xdr:rowOff>20120</xdr:rowOff>
    </xdr:from>
    <xdr:to>
      <xdr:col>14</xdr:col>
      <xdr:colOff>0</xdr:colOff>
      <xdr:row>53</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0591" y="20120"/>
          <a:ext cx="8523809" cy="85619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80</xdr:row>
      <xdr:rowOff>0</xdr:rowOff>
    </xdr:from>
    <xdr:to>
      <xdr:col>10</xdr:col>
      <xdr:colOff>1</xdr:colOff>
      <xdr:row>122</xdr:row>
      <xdr:rowOff>13607</xdr:rowOff>
    </xdr:to>
    <xdr:graphicFrame macro="">
      <xdr:nvGraphicFramePr>
        <xdr:cNvPr id="122" name="Chart 121">
          <a:extLst>
            <a:ext uri="{FF2B5EF4-FFF2-40B4-BE49-F238E27FC236}">
              <a16:creationId xmlns:a16="http://schemas.microsoft.com/office/drawing/2014/main" id="{00000000-0008-0000-01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177800</xdr:colOff>
          <xdr:row>26</xdr:row>
          <xdr:rowOff>711200</xdr:rowOff>
        </xdr:from>
        <xdr:to>
          <xdr:col>11</xdr:col>
          <xdr:colOff>368300</xdr:colOff>
          <xdr:row>30</xdr:row>
          <xdr:rowOff>330200</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100-00000B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800" b="0" i="0" u="none" strike="noStrike" baseline="0">
                  <a:solidFill>
                    <a:srgbClr val="000000"/>
                  </a:solidFill>
                  <a:latin typeface="Times New Roman" pitchFamily="1" charset="0"/>
                  <a:cs typeface="Times New Roman" pitchFamily="1" charset="0"/>
                </a:rPr>
                <a:t>Add Default # of Cells/Modules for given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785091</xdr:colOff>
          <xdr:row>1</xdr:row>
          <xdr:rowOff>161638</xdr:rowOff>
        </xdr:from>
        <xdr:to>
          <xdr:col>25</xdr:col>
          <xdr:colOff>388277</xdr:colOff>
          <xdr:row>30</xdr:row>
          <xdr:rowOff>46183</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a:extLst>
                <a:ext uri="{84589F7E-364E-4C9E-8A38-B11213B215E9}">
                  <a14:cameraTool cellRange="MovableTable" spid="_x0000_s98592"/>
                </a:ext>
              </a:extLst>
            </xdr:cNvPicPr>
          </xdr:nvPicPr>
          <xdr:blipFill>
            <a:blip xmlns:r="http://schemas.openxmlformats.org/officeDocument/2006/relationships" r:embed="rId2"/>
            <a:srcRect/>
            <a:stretch>
              <a:fillRect/>
            </a:stretch>
          </xdr:blipFill>
          <xdr:spPr bwMode="auto">
            <a:xfrm>
              <a:off x="21659273" y="346365"/>
              <a:ext cx="21608822" cy="983672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0.33647</cdr:x>
      <cdr:y>0.01208</cdr:y>
    </cdr:from>
    <cdr:to>
      <cdr:x>1</cdr:x>
      <cdr:y>0.19052</cdr:y>
    </cdr:to>
    <cdr:sp macro="" textlink="Dashboard!$C$126">
      <cdr:nvSpPr>
        <cdr:cNvPr id="2" name="TextBox 1">
          <a:extLst xmlns:a="http://schemas.openxmlformats.org/drawingml/2006/main">
            <a:ext uri="{FF2B5EF4-FFF2-40B4-BE49-F238E27FC236}">
              <a16:creationId xmlns:a16="http://schemas.microsoft.com/office/drawing/2014/main" id="{05C82877-C97A-493D-9EBB-D5BF24AFC24A}"/>
            </a:ext>
          </a:extLst>
        </cdr:cNvPr>
        <cdr:cNvSpPr txBox="1"/>
      </cdr:nvSpPr>
      <cdr:spPr>
        <a:xfrm xmlns:a="http://schemas.openxmlformats.org/drawingml/2006/main">
          <a:off x="5498653" y="75953"/>
          <a:ext cx="10843525" cy="112176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B63E091-8637-415F-A1F4-96789DE2FF7F}" type="TxLink">
            <a:rPr lang="en-US" sz="2400" b="1" i="0" u="none" strike="noStrike">
              <a:ln w="1270">
                <a:noFill/>
              </a:ln>
              <a:solidFill>
                <a:schemeClr val="tx1"/>
              </a:solidFill>
              <a:latin typeface="Times New Roman" panose="02020603050405020304" pitchFamily="18" charset="0"/>
              <a:cs typeface="Times New Roman" panose="02020603050405020304" pitchFamily="18" charset="0"/>
            </a:rPr>
            <a:pPr/>
            <a:t>EV Vehicle with LFP-G Electrodes</a:t>
          </a:fld>
          <a:endParaRPr lang="en-US" sz="3600">
            <a:ln w="1270">
              <a:noFill/>
            </a:ln>
            <a:solidFill>
              <a:schemeClr val="tx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xdr:row>
          <xdr:rowOff>29338</xdr:rowOff>
        </xdr:from>
        <xdr:to>
          <xdr:col>26</xdr:col>
          <xdr:colOff>137665</xdr:colOff>
          <xdr:row>25</xdr:row>
          <xdr:rowOff>0</xdr:rowOff>
        </xdr:to>
        <xdr:pic>
          <xdr:nvPicPr>
            <xdr:cNvPr id="4" name="Picture 3">
              <a:extLst>
                <a:ext uri="{FF2B5EF4-FFF2-40B4-BE49-F238E27FC236}">
                  <a16:creationId xmlns:a16="http://schemas.microsoft.com/office/drawing/2014/main" id="{00000000-0008-0000-0300-000004000000}"/>
                </a:ext>
              </a:extLst>
            </xdr:cNvPr>
            <xdr:cNvPicPr>
              <a:picLocks noChangeAspect="1" noChangeArrowheads="1"/>
              <a:extLst>
                <a:ext uri="{84589F7E-364E-4C9E-8A38-B11213B215E9}">
                  <a14:cameraTool cellRange="MovableTable" spid="_x0000_s116795"/>
                </a:ext>
              </a:extLst>
            </xdr:cNvPicPr>
          </xdr:nvPicPr>
          <xdr:blipFill>
            <a:blip xmlns:r="http://schemas.openxmlformats.org/officeDocument/2006/relationships" r:embed="rId1"/>
            <a:srcRect/>
            <a:stretch>
              <a:fillRect/>
            </a:stretch>
          </xdr:blipFill>
          <xdr:spPr bwMode="auto">
            <a:xfrm>
              <a:off x="11277600" y="257938"/>
              <a:ext cx="8738740" cy="422833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27</xdr:col>
          <xdr:colOff>0</xdr:colOff>
          <xdr:row>26</xdr:row>
          <xdr:rowOff>2</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a:extLst>
                <a:ext uri="{84589F7E-364E-4C9E-8A38-B11213B215E9}">
                  <a14:cameraTool cellRange="Lists!$B$74:$I$96" spid="_x0000_s38235"/>
                </a:ext>
              </a:extLst>
            </xdr:cNvPicPr>
          </xdr:nvPicPr>
          <xdr:blipFill>
            <a:blip xmlns:r="http://schemas.openxmlformats.org/officeDocument/2006/relationships" r:embed="rId1"/>
            <a:srcRect/>
            <a:stretch>
              <a:fillRect/>
            </a:stretch>
          </xdr:blipFill>
          <xdr:spPr bwMode="auto">
            <a:xfrm>
              <a:off x="11833412" y="224118"/>
              <a:ext cx="8886264" cy="425823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28</xdr:col>
          <xdr:colOff>166241</xdr:colOff>
          <xdr:row>26</xdr:row>
          <xdr:rowOff>87559</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a:extLst>
                <a:ext uri="{84589F7E-364E-4C9E-8A38-B11213B215E9}">
                  <a14:cameraTool cellRange="MovableTable" spid="_x0000_s83288"/>
                </a:ext>
              </a:extLst>
            </xdr:cNvPicPr>
          </xdr:nvPicPr>
          <xdr:blipFill>
            <a:blip xmlns:r="http://schemas.openxmlformats.org/officeDocument/2006/relationships" r:embed="rId1"/>
            <a:srcRect/>
            <a:stretch>
              <a:fillRect/>
            </a:stretch>
          </xdr:blipFill>
          <xdr:spPr bwMode="auto">
            <a:xfrm>
              <a:off x="11975523" y="199159"/>
              <a:ext cx="8764718" cy="4269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11</xdr:col>
      <xdr:colOff>0</xdr:colOff>
      <xdr:row>0</xdr:row>
      <xdr:rowOff>0</xdr:rowOff>
    </xdr:from>
    <xdr:to>
      <xdr:col>11</xdr:col>
      <xdr:colOff>0</xdr:colOff>
      <xdr:row>0</xdr:row>
      <xdr:rowOff>0</xdr:rowOff>
    </xdr:to>
    <xdr:graphicFrame macro="">
      <xdr:nvGraphicFramePr>
        <xdr:cNvPr id="6145" name="Chart 1">
          <a:extLst>
            <a:ext uri="{FF2B5EF4-FFF2-40B4-BE49-F238E27FC236}">
              <a16:creationId xmlns:a16="http://schemas.microsoft.com/office/drawing/2014/main" id="{00000000-0008-0000-0700-000001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22224</xdr:colOff>
      <xdr:row>112</xdr:row>
      <xdr:rowOff>82550</xdr:rowOff>
    </xdr:from>
    <xdr:to>
      <xdr:col>12</xdr:col>
      <xdr:colOff>603249</xdr:colOff>
      <xdr:row>138</xdr:row>
      <xdr:rowOff>47626</xdr:rowOff>
    </xdr:to>
    <xdr:graphicFrame macro="">
      <xdr:nvGraphicFramePr>
        <xdr:cNvPr id="2" name="Chart 64">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167</xdr:row>
      <xdr:rowOff>25399</xdr:rowOff>
    </xdr:from>
    <xdr:to>
      <xdr:col>12</xdr:col>
      <xdr:colOff>552450</xdr:colOff>
      <xdr:row>196</xdr:row>
      <xdr:rowOff>9525</xdr:rowOff>
    </xdr:to>
    <xdr:graphicFrame macro="">
      <xdr:nvGraphicFramePr>
        <xdr:cNvPr id="4" name="Chart 238">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276</xdr:row>
      <xdr:rowOff>101599</xdr:rowOff>
    </xdr:from>
    <xdr:to>
      <xdr:col>12</xdr:col>
      <xdr:colOff>450850</xdr:colOff>
      <xdr:row>303</xdr:row>
      <xdr:rowOff>114299</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28575</xdr:colOff>
      <xdr:row>305</xdr:row>
      <xdr:rowOff>66675</xdr:rowOff>
    </xdr:from>
    <xdr:to>
      <xdr:col>12</xdr:col>
      <xdr:colOff>590550</xdr:colOff>
      <xdr:row>334</xdr:row>
      <xdr:rowOff>9525</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227</xdr:row>
      <xdr:rowOff>28575</xdr:rowOff>
    </xdr:from>
    <xdr:to>
      <xdr:col>12</xdr:col>
      <xdr:colOff>581023</xdr:colOff>
      <xdr:row>251</xdr:row>
      <xdr:rowOff>19051</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139</xdr:row>
      <xdr:rowOff>57150</xdr:rowOff>
    </xdr:from>
    <xdr:to>
      <xdr:col>12</xdr:col>
      <xdr:colOff>600075</xdr:colOff>
      <xdr:row>165</xdr:row>
      <xdr:rowOff>19051</xdr:rowOff>
    </xdr:to>
    <xdr:graphicFrame macro="">
      <xdr:nvGraphicFramePr>
        <xdr:cNvPr id="12" name="Chart 64">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31751</xdr:colOff>
      <xdr:row>197</xdr:row>
      <xdr:rowOff>22226</xdr:rowOff>
    </xdr:from>
    <xdr:to>
      <xdr:col>12</xdr:col>
      <xdr:colOff>571501</xdr:colOff>
      <xdr:row>226</xdr:row>
      <xdr:rowOff>19051</xdr:rowOff>
    </xdr:to>
    <xdr:graphicFrame macro="">
      <xdr:nvGraphicFramePr>
        <xdr:cNvPr id="13" name="Chart 238">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28575</xdr:colOff>
      <xdr:row>252</xdr:row>
      <xdr:rowOff>66675</xdr:rowOff>
    </xdr:from>
    <xdr:to>
      <xdr:col>12</xdr:col>
      <xdr:colOff>600073</xdr:colOff>
      <xdr:row>276</xdr:row>
      <xdr:rowOff>57151</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0.55089</cdr:x>
      <cdr:y>0.28747</cdr:y>
    </cdr:from>
    <cdr:to>
      <cdr:x>0.95633</cdr:x>
      <cdr:y>0.71542</cdr:y>
    </cdr:to>
    <cdr:sp macro="" textlink="">
      <cdr:nvSpPr>
        <cdr:cNvPr id="2" name="TextBox 1">
          <a:extLst xmlns:a="http://schemas.openxmlformats.org/drawingml/2006/main">
            <a:ext uri="{FF2B5EF4-FFF2-40B4-BE49-F238E27FC236}">
              <a16:creationId xmlns:a16="http://schemas.microsoft.com/office/drawing/2014/main" id="{D9140B85-1310-4692-A365-A035591E32B8}"/>
            </a:ext>
          </a:extLst>
        </cdr:cNvPr>
        <cdr:cNvSpPr txBox="1"/>
      </cdr:nvSpPr>
      <cdr:spPr>
        <a:xfrm xmlns:a="http://schemas.openxmlformats.org/drawingml/2006/main">
          <a:off x="5086350" y="1260476"/>
          <a:ext cx="3743325" cy="1876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p>
      </cdr:txBody>
    </cdr:sp>
  </cdr:relSizeAnchor>
</c:userShapes>
</file>

<file path=xl/drawings/drawing10.xml><?xml version="1.0" encoding="utf-8"?>
<c:userShapes xmlns:c="http://schemas.openxmlformats.org/drawingml/2006/chart">
  <cdr:relSizeAnchor xmlns:cdr="http://schemas.openxmlformats.org/drawingml/2006/chartDrawing">
    <cdr:from>
      <cdr:x>0.53696</cdr:x>
      <cdr:y>0.26694</cdr:y>
    </cdr:from>
    <cdr:to>
      <cdr:x>0.97639</cdr:x>
      <cdr:y>0.82136</cdr:y>
    </cdr:to>
    <cdr:sp macro="" textlink="">
      <cdr:nvSpPr>
        <cdr:cNvPr id="2" name="TextBox 1">
          <a:extLst xmlns:a="http://schemas.openxmlformats.org/drawingml/2006/main">
            <a:ext uri="{FF2B5EF4-FFF2-40B4-BE49-F238E27FC236}">
              <a16:creationId xmlns:a16="http://schemas.microsoft.com/office/drawing/2014/main" id="{EAF67D7C-37E7-4A4E-BAA7-99434C305A54}"/>
            </a:ext>
          </a:extLst>
        </cdr:cNvPr>
        <cdr:cNvSpPr txBox="1"/>
      </cdr:nvSpPr>
      <cdr:spPr>
        <a:xfrm xmlns:a="http://schemas.openxmlformats.org/drawingml/2006/main">
          <a:off x="4981575" y="1238250"/>
          <a:ext cx="4076700" cy="2571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endParaRPr lang="en-US" sz="1600" b="1">
            <a:effectLst/>
          </a:endParaRPr>
        </a:p>
        <a:p xmlns:a="http://schemas.openxmlformats.org/drawingml/2006/main">
          <a:endParaRPr lang="en-US" sz="1600" b="1"/>
        </a:p>
      </cdr:txBody>
    </cdr:sp>
  </cdr:relSizeAnchor>
</c:userShapes>
</file>

<file path=xl/drawings/drawing11.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2.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9525</xdr:rowOff>
        </xdr:from>
        <xdr:to>
          <xdr:col>27</xdr:col>
          <xdr:colOff>0</xdr:colOff>
          <xdr:row>26</xdr:row>
          <xdr:rowOff>41254</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a:extLst>
                <a:ext uri="{84589F7E-364E-4C9E-8A38-B11213B215E9}">
                  <a14:cameraTool cellRange="MovableTable" spid="_x0000_s75136"/>
                </a:ext>
              </a:extLst>
            </xdr:cNvPicPr>
          </xdr:nvPicPr>
          <xdr:blipFill>
            <a:blip xmlns:r="http://schemas.openxmlformats.org/officeDocument/2006/relationships" r:embed="rId1"/>
            <a:srcRect/>
            <a:stretch>
              <a:fillRect/>
            </a:stretch>
          </xdr:blipFill>
          <xdr:spPr bwMode="auto">
            <a:xfrm>
              <a:off x="9601200" y="9525"/>
              <a:ext cx="9144000" cy="447990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180974</xdr:colOff>
      <xdr:row>0</xdr:row>
      <xdr:rowOff>123825</xdr:rowOff>
    </xdr:from>
    <xdr:to>
      <xdr:col>14</xdr:col>
      <xdr:colOff>228599</xdr:colOff>
      <xdr:row>8</xdr:row>
      <xdr:rowOff>142875</xdr:rowOff>
    </xdr:to>
    <xdr:sp macro="" textlink="">
      <xdr:nvSpPr>
        <xdr:cNvPr id="57" name="Text Box 110">
          <a:extLst>
            <a:ext uri="{FF2B5EF4-FFF2-40B4-BE49-F238E27FC236}">
              <a16:creationId xmlns:a16="http://schemas.microsoft.com/office/drawing/2014/main" id="{00000000-0008-0000-0E00-000039000000}"/>
            </a:ext>
          </a:extLst>
        </xdr:cNvPr>
        <xdr:cNvSpPr txBox="1">
          <a:spLocks noChangeArrowheads="1"/>
        </xdr:cNvSpPr>
      </xdr:nvSpPr>
      <xdr:spPr bwMode="auto">
        <a:xfrm>
          <a:off x="180974" y="123825"/>
          <a:ext cx="8582025" cy="13144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Baseline Lithium-Ion Battery Manufacturing Plant Schematic Diagram</a:t>
          </a:r>
        </a:p>
        <a:p>
          <a:pPr algn="ctr" rtl="0">
            <a:defRPr sz="1000"/>
          </a:pPr>
          <a:endParaRPr lang="en-US" sz="1600" b="1" i="0" u="none" strike="noStrike" baseline="0">
            <a:solidFill>
              <a:srgbClr val="000000"/>
            </a:solidFill>
            <a:latin typeface="Arial"/>
            <a:cs typeface="Arial"/>
          </a:endParaRPr>
        </a:p>
        <a:p>
          <a:pPr algn="ctr" rtl="0">
            <a:defRPr sz="1000"/>
          </a:pPr>
          <a:r>
            <a:rPr lang="en-US" sz="1400" b="1" i="0" u="none" strike="noStrike" baseline="0">
              <a:solidFill>
                <a:srgbClr val="000000"/>
              </a:solidFill>
              <a:latin typeface="Arial"/>
              <a:cs typeface="Arial"/>
            </a:rPr>
            <a:t> 100,000 NMC622-G EV packs per year, 220-kW power, 67-Ah capacity, 240 cells per battery</a:t>
          </a:r>
        </a:p>
        <a:p>
          <a:pPr algn="ctr" rtl="0">
            <a:defRPr sz="1000"/>
          </a:pPr>
          <a:r>
            <a:rPr lang="en-US" sz="1400" b="1" i="0" u="none" strike="noStrike" baseline="0">
              <a:solidFill>
                <a:srgbClr val="000000"/>
              </a:solidFill>
              <a:latin typeface="Arial"/>
              <a:cs typeface="Arial"/>
            </a:rPr>
            <a:t>Operating year: 300 days with three 8-hr shifts per day (two shifts for, scrap, receiving and shipping)</a:t>
          </a:r>
        </a:p>
      </xdr:txBody>
    </xdr:sp>
    <xdr:clientData/>
  </xdr:twoCellAnchor>
  <xdr:twoCellAnchor>
    <xdr:from>
      <xdr:col>0</xdr:col>
      <xdr:colOff>490656</xdr:colOff>
      <xdr:row>39</xdr:row>
      <xdr:rowOff>89522</xdr:rowOff>
    </xdr:from>
    <xdr:to>
      <xdr:col>13</xdr:col>
      <xdr:colOff>496717</xdr:colOff>
      <xdr:row>43</xdr:row>
      <xdr:rowOff>57150</xdr:rowOff>
    </xdr:to>
    <xdr:sp macro="" textlink="">
      <xdr:nvSpPr>
        <xdr:cNvPr id="58" name="Text Box 113">
          <a:extLst>
            <a:ext uri="{FF2B5EF4-FFF2-40B4-BE49-F238E27FC236}">
              <a16:creationId xmlns:a16="http://schemas.microsoft.com/office/drawing/2014/main" id="{00000000-0008-0000-0E00-00003A000000}"/>
            </a:ext>
          </a:extLst>
        </xdr:cNvPr>
        <xdr:cNvSpPr txBox="1">
          <a:spLocks noChangeArrowheads="1"/>
        </xdr:cNvSpPr>
      </xdr:nvSpPr>
      <xdr:spPr bwMode="auto">
        <a:xfrm>
          <a:off x="490656" y="6404597"/>
          <a:ext cx="7930861" cy="615328"/>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0" bIns="0" anchor="t" upright="1"/>
        <a:lstStyle/>
        <a:p>
          <a:pPr algn="ctr" rtl="0">
            <a:defRPr sz="1000"/>
          </a:pPr>
          <a:r>
            <a:rPr lang="en-US" sz="1600" b="1" i="0" u="none" strike="noStrike" baseline="0">
              <a:solidFill>
                <a:srgbClr val="000000"/>
              </a:solidFill>
              <a:latin typeface="Arial"/>
              <a:cs typeface="Arial"/>
            </a:rPr>
            <a:t>The areas in this diagram for each processing step are approximately proportional to the estimated plant areas in the baseline plant.</a:t>
          </a:r>
        </a:p>
        <a:p>
          <a:pPr algn="l" rtl="0">
            <a:defRPr sz="1000"/>
          </a:pPr>
          <a:endParaRPr lang="en-US" sz="1600" b="1" i="0" u="none" strike="noStrike" baseline="0">
            <a:solidFill>
              <a:srgbClr val="000000"/>
            </a:solidFill>
            <a:latin typeface="Arial"/>
            <a:cs typeface="Arial"/>
          </a:endParaRPr>
        </a:p>
      </xdr:txBody>
    </xdr:sp>
    <xdr:clientData/>
  </xdr:twoCellAnchor>
  <xdr:twoCellAnchor>
    <xdr:from>
      <xdr:col>12</xdr:col>
      <xdr:colOff>514350</xdr:colOff>
      <xdr:row>21</xdr:row>
      <xdr:rowOff>47626</xdr:rowOff>
    </xdr:from>
    <xdr:to>
      <xdr:col>14</xdr:col>
      <xdr:colOff>228600</xdr:colOff>
      <xdr:row>30</xdr:row>
      <xdr:rowOff>38101</xdr:rowOff>
    </xdr:to>
    <xdr:sp macro="" textlink="">
      <xdr:nvSpPr>
        <xdr:cNvPr id="59" name="Text Box 120">
          <a:extLst>
            <a:ext uri="{FF2B5EF4-FFF2-40B4-BE49-F238E27FC236}">
              <a16:creationId xmlns:a16="http://schemas.microsoft.com/office/drawing/2014/main" id="{00000000-0008-0000-0E00-00003B000000}"/>
            </a:ext>
          </a:extLst>
        </xdr:cNvPr>
        <xdr:cNvSpPr txBox="1">
          <a:spLocks noChangeArrowheads="1"/>
        </xdr:cNvSpPr>
      </xdr:nvSpPr>
      <xdr:spPr bwMode="auto">
        <a:xfrm>
          <a:off x="7829550" y="3448051"/>
          <a:ext cx="933450" cy="1447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Enclosing Cell in Container</a:t>
          </a:r>
        </a:p>
      </xdr:txBody>
    </xdr:sp>
    <xdr:clientData/>
  </xdr:twoCellAnchor>
  <xdr:twoCellAnchor>
    <xdr:from>
      <xdr:col>2</xdr:col>
      <xdr:colOff>485775</xdr:colOff>
      <xdr:row>36</xdr:row>
      <xdr:rowOff>57150</xdr:rowOff>
    </xdr:from>
    <xdr:to>
      <xdr:col>6</xdr:col>
      <xdr:colOff>38100</xdr:colOff>
      <xdr:row>38</xdr:row>
      <xdr:rowOff>95250</xdr:rowOff>
    </xdr:to>
    <xdr:sp macro="" textlink="">
      <xdr:nvSpPr>
        <xdr:cNvPr id="60" name="Text Box 112">
          <a:extLst>
            <a:ext uri="{FF2B5EF4-FFF2-40B4-BE49-F238E27FC236}">
              <a16:creationId xmlns:a16="http://schemas.microsoft.com/office/drawing/2014/main" id="{00000000-0008-0000-0E00-00003C000000}"/>
            </a:ext>
          </a:extLst>
        </xdr:cNvPr>
        <xdr:cNvSpPr txBox="1">
          <a:spLocks noChangeArrowheads="1"/>
        </xdr:cNvSpPr>
      </xdr:nvSpPr>
      <xdr:spPr bwMode="auto">
        <a:xfrm>
          <a:off x="1704975" y="5886450"/>
          <a:ext cx="1990725" cy="3619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0" bIns="0" anchor="t" upright="1"/>
        <a:lstStyle/>
        <a:p>
          <a:pPr algn="l" rtl="0">
            <a:defRPr sz="1000"/>
          </a:pPr>
          <a:r>
            <a:rPr lang="en-US" sz="1600" b="1" i="0" u="none" strike="noStrike" baseline="0">
              <a:solidFill>
                <a:srgbClr val="800080"/>
              </a:solidFill>
              <a:latin typeface="Arial"/>
              <a:cs typeface="Arial"/>
            </a:rPr>
            <a:t>Assembly Route</a:t>
          </a:r>
        </a:p>
      </xdr:txBody>
    </xdr:sp>
    <xdr:clientData/>
  </xdr:twoCellAnchor>
  <xdr:twoCellAnchor>
    <xdr:from>
      <xdr:col>12</xdr:col>
      <xdr:colOff>390525</xdr:colOff>
      <xdr:row>8</xdr:row>
      <xdr:rowOff>66675</xdr:rowOff>
    </xdr:from>
    <xdr:to>
      <xdr:col>14</xdr:col>
      <xdr:colOff>238125</xdr:colOff>
      <xdr:row>12</xdr:row>
      <xdr:rowOff>57150</xdr:rowOff>
    </xdr:to>
    <xdr:sp macro="" textlink="">
      <xdr:nvSpPr>
        <xdr:cNvPr id="61" name="Text Box 126">
          <a:extLst>
            <a:ext uri="{FF2B5EF4-FFF2-40B4-BE49-F238E27FC236}">
              <a16:creationId xmlns:a16="http://schemas.microsoft.com/office/drawing/2014/main" id="{00000000-0008-0000-0E00-00003D000000}"/>
            </a:ext>
          </a:extLst>
        </xdr:cNvPr>
        <xdr:cNvSpPr txBox="1">
          <a:spLocks noChangeArrowheads="1"/>
        </xdr:cNvSpPr>
      </xdr:nvSpPr>
      <xdr:spPr bwMode="auto">
        <a:xfrm>
          <a:off x="7705725" y="1362075"/>
          <a:ext cx="1066800" cy="6381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Electrode Slitting</a:t>
          </a:r>
        </a:p>
      </xdr:txBody>
    </xdr:sp>
    <xdr:clientData/>
  </xdr:twoCellAnchor>
  <xdr:twoCellAnchor>
    <xdr:from>
      <xdr:col>5</xdr:col>
      <xdr:colOff>371475</xdr:colOff>
      <xdr:row>8</xdr:row>
      <xdr:rowOff>66675</xdr:rowOff>
    </xdr:from>
    <xdr:to>
      <xdr:col>10</xdr:col>
      <xdr:colOff>266700</xdr:colOff>
      <xdr:row>20</xdr:row>
      <xdr:rowOff>28575</xdr:rowOff>
    </xdr:to>
    <xdr:sp macro="" textlink="">
      <xdr:nvSpPr>
        <xdr:cNvPr id="62" name="Text Box 125">
          <a:extLst>
            <a:ext uri="{FF2B5EF4-FFF2-40B4-BE49-F238E27FC236}">
              <a16:creationId xmlns:a16="http://schemas.microsoft.com/office/drawing/2014/main" id="{00000000-0008-0000-0E00-00003E000000}"/>
            </a:ext>
          </a:extLst>
        </xdr:cNvPr>
        <xdr:cNvSpPr txBox="1">
          <a:spLocks noChangeArrowheads="1"/>
        </xdr:cNvSpPr>
      </xdr:nvSpPr>
      <xdr:spPr bwMode="auto">
        <a:xfrm>
          <a:off x="3419475" y="1362075"/>
          <a:ext cx="2943225" cy="19050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0" anchor="t" upright="1"/>
        <a:lstStyle/>
        <a:p>
          <a:pPr algn="ctr" rtl="0">
            <a:defRPr sz="1000"/>
          </a:pPr>
          <a:r>
            <a:rPr lang="en-US" sz="1400" b="1" i="0" u="none" strike="noStrike" baseline="0">
              <a:solidFill>
                <a:srgbClr val="000000"/>
              </a:solidFill>
              <a:latin typeface="Arial"/>
              <a:cs typeface="Arial"/>
            </a:rPr>
            <a:t>Electrode Coating and</a:t>
          </a:r>
        </a:p>
        <a:p>
          <a:pPr algn="ctr" rtl="0">
            <a:defRPr sz="1000"/>
          </a:pPr>
          <a:r>
            <a:rPr lang="en-US" sz="1400" b="1" i="0" u="none" strike="noStrike" baseline="0">
              <a:solidFill>
                <a:srgbClr val="000000"/>
              </a:solidFill>
              <a:latin typeface="Arial"/>
              <a:cs typeface="Arial"/>
            </a:rPr>
            <a:t>Solvent Evaporation</a:t>
          </a:r>
        </a:p>
        <a:p>
          <a:pPr algn="ctr" rtl="0">
            <a:defRPr sz="1000"/>
          </a:pPr>
          <a:r>
            <a:rPr lang="en-US" sz="1400" b="1" i="0" u="none" strike="noStrike" baseline="0">
              <a:solidFill>
                <a:srgbClr val="008000"/>
              </a:solidFill>
              <a:latin typeface="Arial"/>
              <a:cs typeface="Arial"/>
            </a:rPr>
            <a:t>Positive</a:t>
          </a:r>
        </a:p>
        <a:p>
          <a:pPr algn="ctr" rtl="0">
            <a:defRPr sz="1000"/>
          </a:pPr>
          <a:endParaRPr lang="en-US" sz="1400" b="1" i="0" u="none" strike="noStrike" baseline="0">
            <a:solidFill>
              <a:srgbClr val="808080"/>
            </a:solidFill>
            <a:latin typeface="Arial"/>
            <a:cs typeface="Arial"/>
          </a:endParaRPr>
        </a:p>
        <a:p>
          <a:pPr algn="ctr" rtl="0">
            <a:defRPr sz="1000"/>
          </a:pPr>
          <a:r>
            <a:rPr lang="en-US" sz="1400" b="1" i="0" u="none" strike="noStrike" baseline="0">
              <a:solidFill>
                <a:srgbClr val="FF0000"/>
              </a:solidFill>
              <a:latin typeface="Arial"/>
              <a:cs typeface="Arial"/>
            </a:rPr>
            <a:t>Negative</a:t>
          </a:r>
        </a:p>
      </xdr:txBody>
    </xdr:sp>
    <xdr:clientData/>
  </xdr:twoCellAnchor>
  <xdr:twoCellAnchor>
    <xdr:from>
      <xdr:col>12</xdr:col>
      <xdr:colOff>400050</xdr:colOff>
      <xdr:row>12</xdr:row>
      <xdr:rowOff>38100</xdr:rowOff>
    </xdr:from>
    <xdr:to>
      <xdr:col>14</xdr:col>
      <xdr:colOff>238125</xdr:colOff>
      <xdr:row>16</xdr:row>
      <xdr:rowOff>47625</xdr:rowOff>
    </xdr:to>
    <xdr:sp macro="" textlink="">
      <xdr:nvSpPr>
        <xdr:cNvPr id="63" name="Text Box 127">
          <a:extLst>
            <a:ext uri="{FF2B5EF4-FFF2-40B4-BE49-F238E27FC236}">
              <a16:creationId xmlns:a16="http://schemas.microsoft.com/office/drawing/2014/main" id="{00000000-0008-0000-0E00-00003F000000}"/>
            </a:ext>
          </a:extLst>
        </xdr:cNvPr>
        <xdr:cNvSpPr txBox="1">
          <a:spLocks noChangeArrowheads="1"/>
        </xdr:cNvSpPr>
      </xdr:nvSpPr>
      <xdr:spPr bwMode="auto">
        <a:xfrm>
          <a:off x="7715250" y="1981200"/>
          <a:ext cx="1057275" cy="6572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Vacuum Drying</a:t>
          </a:r>
        </a:p>
      </xdr:txBody>
    </xdr:sp>
    <xdr:clientData/>
  </xdr:twoCellAnchor>
  <xdr:twoCellAnchor>
    <xdr:from>
      <xdr:col>10</xdr:col>
      <xdr:colOff>247650</xdr:colOff>
      <xdr:row>8</xdr:row>
      <xdr:rowOff>66675</xdr:rowOff>
    </xdr:from>
    <xdr:to>
      <xdr:col>12</xdr:col>
      <xdr:colOff>381000</xdr:colOff>
      <xdr:row>11</xdr:row>
      <xdr:rowOff>66675</xdr:rowOff>
    </xdr:to>
    <xdr:sp macro="" textlink="">
      <xdr:nvSpPr>
        <xdr:cNvPr id="64" name="Text Box 130">
          <a:extLst>
            <a:ext uri="{FF2B5EF4-FFF2-40B4-BE49-F238E27FC236}">
              <a16:creationId xmlns:a16="http://schemas.microsoft.com/office/drawing/2014/main" id="{00000000-0008-0000-0E00-000040000000}"/>
            </a:ext>
          </a:extLst>
        </xdr:cNvPr>
        <xdr:cNvSpPr txBox="1">
          <a:spLocks noChangeArrowheads="1"/>
        </xdr:cNvSpPr>
      </xdr:nvSpPr>
      <xdr:spPr bwMode="auto">
        <a:xfrm>
          <a:off x="6343650" y="1362075"/>
          <a:ext cx="1352550" cy="4857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Solvent Recovery</a:t>
          </a:r>
        </a:p>
      </xdr:txBody>
    </xdr:sp>
    <xdr:clientData/>
  </xdr:twoCellAnchor>
  <xdr:twoCellAnchor>
    <xdr:from>
      <xdr:col>9</xdr:col>
      <xdr:colOff>500802</xdr:colOff>
      <xdr:row>9</xdr:row>
      <xdr:rowOff>13901</xdr:rowOff>
    </xdr:from>
    <xdr:to>
      <xdr:col>10</xdr:col>
      <xdr:colOff>429134</xdr:colOff>
      <xdr:row>10</xdr:row>
      <xdr:rowOff>30584</xdr:rowOff>
    </xdr:to>
    <xdr:sp macro="" textlink="">
      <xdr:nvSpPr>
        <xdr:cNvPr id="65" name="AutoShape 139">
          <a:extLst>
            <a:ext uri="{FF2B5EF4-FFF2-40B4-BE49-F238E27FC236}">
              <a16:creationId xmlns:a16="http://schemas.microsoft.com/office/drawing/2014/main" id="{00000000-0008-0000-0E00-000041000000}"/>
            </a:ext>
          </a:extLst>
        </xdr:cNvPr>
        <xdr:cNvSpPr>
          <a:spLocks noChangeArrowheads="1"/>
        </xdr:cNvSpPr>
      </xdr:nvSpPr>
      <xdr:spPr bwMode="auto">
        <a:xfrm>
          <a:off x="5987202" y="1471226"/>
          <a:ext cx="537932" cy="178608"/>
        </a:xfrm>
        <a:prstGeom prst="rightArrow">
          <a:avLst>
            <a:gd name="adj1" fmla="val 50000"/>
            <a:gd name="adj2" fmla="val 10932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xdr:spPr>
    </xdr:sp>
    <xdr:clientData/>
  </xdr:twoCellAnchor>
  <xdr:twoCellAnchor>
    <xdr:from>
      <xdr:col>11</xdr:col>
      <xdr:colOff>200024</xdr:colOff>
      <xdr:row>21</xdr:row>
      <xdr:rowOff>34998</xdr:rowOff>
    </xdr:from>
    <xdr:to>
      <xdr:col>12</xdr:col>
      <xdr:colOff>514349</xdr:colOff>
      <xdr:row>29</xdr:row>
      <xdr:rowOff>28576</xdr:rowOff>
    </xdr:to>
    <xdr:sp macro="" textlink="">
      <xdr:nvSpPr>
        <xdr:cNvPr id="66" name="Text Box 119">
          <a:extLst>
            <a:ext uri="{FF2B5EF4-FFF2-40B4-BE49-F238E27FC236}">
              <a16:creationId xmlns:a16="http://schemas.microsoft.com/office/drawing/2014/main" id="{00000000-0008-0000-0E00-000042000000}"/>
            </a:ext>
          </a:extLst>
        </xdr:cNvPr>
        <xdr:cNvSpPr txBox="1">
          <a:spLocks noChangeArrowheads="1"/>
        </xdr:cNvSpPr>
      </xdr:nvSpPr>
      <xdr:spPr bwMode="auto">
        <a:xfrm>
          <a:off x="6905624" y="3435423"/>
          <a:ext cx="923925" cy="1288978"/>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Current</a:t>
          </a:r>
        </a:p>
        <a:p>
          <a:pPr algn="ctr" rtl="0">
            <a:defRPr sz="1000"/>
          </a:pPr>
          <a:r>
            <a:rPr lang="en-US" sz="1400" b="1" i="0" u="none" strike="noStrike" baseline="0">
              <a:solidFill>
                <a:srgbClr val="000000"/>
              </a:solidFill>
              <a:latin typeface="Arial"/>
              <a:cs typeface="Arial"/>
            </a:rPr>
            <a:t> Collector</a:t>
          </a:r>
        </a:p>
        <a:p>
          <a:pPr algn="ctr" rtl="0">
            <a:defRPr sz="1000"/>
          </a:pPr>
          <a:r>
            <a:rPr lang="en-US" sz="1400" b="1" i="0" u="none" strike="noStrike" baseline="0">
              <a:solidFill>
                <a:srgbClr val="000000"/>
              </a:solidFill>
              <a:latin typeface="Arial"/>
              <a:cs typeface="Arial"/>
            </a:rPr>
            <a:t> Welding</a:t>
          </a:r>
        </a:p>
      </xdr:txBody>
    </xdr:sp>
    <xdr:clientData/>
  </xdr:twoCellAnchor>
  <xdr:twoCellAnchor>
    <xdr:from>
      <xdr:col>11</xdr:col>
      <xdr:colOff>9525</xdr:colOff>
      <xdr:row>34</xdr:row>
      <xdr:rowOff>78274</xdr:rowOff>
    </xdr:from>
    <xdr:to>
      <xdr:col>13</xdr:col>
      <xdr:colOff>476250</xdr:colOff>
      <xdr:row>37</xdr:row>
      <xdr:rowOff>114300</xdr:rowOff>
    </xdr:to>
    <xdr:sp macro="" textlink="">
      <xdr:nvSpPr>
        <xdr:cNvPr id="67" name="Text Box 158">
          <a:extLst>
            <a:ext uri="{FF2B5EF4-FFF2-40B4-BE49-F238E27FC236}">
              <a16:creationId xmlns:a16="http://schemas.microsoft.com/office/drawing/2014/main" id="{00000000-0008-0000-0E00-000043000000}"/>
            </a:ext>
          </a:extLst>
        </xdr:cNvPr>
        <xdr:cNvSpPr txBox="1">
          <a:spLocks noChangeArrowheads="1"/>
        </xdr:cNvSpPr>
      </xdr:nvSpPr>
      <xdr:spPr bwMode="auto">
        <a:xfrm>
          <a:off x="6715125" y="5583724"/>
          <a:ext cx="1685925" cy="52180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Outdoor dry-room air processing equipment</a:t>
          </a:r>
        </a:p>
      </xdr:txBody>
    </xdr:sp>
    <xdr:clientData/>
  </xdr:twoCellAnchor>
  <xdr:twoCellAnchor>
    <xdr:from>
      <xdr:col>5</xdr:col>
      <xdr:colOff>76200</xdr:colOff>
      <xdr:row>19</xdr:row>
      <xdr:rowOff>104775</xdr:rowOff>
    </xdr:from>
    <xdr:to>
      <xdr:col>8</xdr:col>
      <xdr:colOff>361951</xdr:colOff>
      <xdr:row>26</xdr:row>
      <xdr:rowOff>142876</xdr:rowOff>
    </xdr:to>
    <xdr:sp macro="" textlink="">
      <xdr:nvSpPr>
        <xdr:cNvPr id="68" name="Text Box 115">
          <a:extLst>
            <a:ext uri="{FF2B5EF4-FFF2-40B4-BE49-F238E27FC236}">
              <a16:creationId xmlns:a16="http://schemas.microsoft.com/office/drawing/2014/main" id="{00000000-0008-0000-0E00-000044000000}"/>
            </a:ext>
          </a:extLst>
        </xdr:cNvPr>
        <xdr:cNvSpPr txBox="1">
          <a:spLocks noChangeArrowheads="1"/>
        </xdr:cNvSpPr>
      </xdr:nvSpPr>
      <xdr:spPr bwMode="auto">
        <a:xfrm>
          <a:off x="3124200" y="3181350"/>
          <a:ext cx="2114551" cy="1171576"/>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36576" bIns="0" anchor="t" upright="1"/>
        <a:lstStyle/>
        <a:p>
          <a:pPr algn="ctr" rtl="0">
            <a:defRPr sz="1000"/>
          </a:pPr>
          <a:endParaRPr lang="en-US" sz="1600" b="1" i="0" u="none" strike="noStrike" baseline="0">
            <a:solidFill>
              <a:srgbClr val="000000"/>
            </a:solidFill>
            <a:latin typeface="Arial"/>
            <a:cs typeface="Arial"/>
          </a:endParaRPr>
        </a:p>
        <a:p>
          <a:pPr algn="ctr" rtl="0">
            <a:defRPr sz="1000"/>
          </a:pPr>
          <a:endParaRPr lang="en-US" sz="1600" b="1" i="0" u="none" strike="noStrike" baseline="0">
            <a:solidFill>
              <a:srgbClr val="000000"/>
            </a:solidFill>
            <a:latin typeface="Arial"/>
            <a:cs typeface="Arial"/>
          </a:endParaRPr>
        </a:p>
        <a:p>
          <a:pPr algn="ctr" rtl="0">
            <a:defRPr sz="1000"/>
          </a:pPr>
          <a:r>
            <a:rPr lang="en-US" sz="1600" b="1" i="0" u="none" strike="noStrike" baseline="0">
              <a:solidFill>
                <a:srgbClr val="000000"/>
              </a:solidFill>
              <a:latin typeface="Arial"/>
              <a:cs typeface="Arial"/>
            </a:rPr>
            <a:t>Module Assembly</a:t>
          </a:r>
        </a:p>
        <a:p>
          <a:pPr algn="ctr" rtl="0">
            <a:defRPr sz="1000"/>
          </a:pPr>
          <a:endParaRPr lang="en-US" sz="1600" b="1" i="0" u="none" strike="noStrike" baseline="0">
            <a:solidFill>
              <a:srgbClr val="000000"/>
            </a:solidFill>
            <a:latin typeface="Arial"/>
            <a:cs typeface="Arial"/>
          </a:endParaRPr>
        </a:p>
      </xdr:txBody>
    </xdr:sp>
    <xdr:clientData/>
  </xdr:twoCellAnchor>
  <xdr:twoCellAnchor>
    <xdr:from>
      <xdr:col>10</xdr:col>
      <xdr:colOff>247650</xdr:colOff>
      <xdr:row>11</xdr:row>
      <xdr:rowOff>57149</xdr:rowOff>
    </xdr:from>
    <xdr:to>
      <xdr:col>12</xdr:col>
      <xdr:colOff>390525</xdr:colOff>
      <xdr:row>16</xdr:row>
      <xdr:rowOff>47625</xdr:rowOff>
    </xdr:to>
    <xdr:sp macro="" textlink="">
      <xdr:nvSpPr>
        <xdr:cNvPr id="69" name="Text Box 129">
          <a:extLst>
            <a:ext uri="{FF2B5EF4-FFF2-40B4-BE49-F238E27FC236}">
              <a16:creationId xmlns:a16="http://schemas.microsoft.com/office/drawing/2014/main" id="{00000000-0008-0000-0E00-000045000000}"/>
            </a:ext>
          </a:extLst>
        </xdr:cNvPr>
        <xdr:cNvSpPr txBox="1">
          <a:spLocks noChangeArrowheads="1"/>
        </xdr:cNvSpPr>
      </xdr:nvSpPr>
      <xdr:spPr bwMode="auto">
        <a:xfrm>
          <a:off x="6343650" y="1838324"/>
          <a:ext cx="1362075" cy="80010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Calendering</a:t>
          </a:r>
        </a:p>
      </xdr:txBody>
    </xdr:sp>
    <xdr:clientData/>
  </xdr:twoCellAnchor>
  <xdr:twoCellAnchor>
    <xdr:from>
      <xdr:col>9</xdr:col>
      <xdr:colOff>554673</xdr:colOff>
      <xdr:row>11</xdr:row>
      <xdr:rowOff>96104</xdr:rowOff>
    </xdr:from>
    <xdr:to>
      <xdr:col>11</xdr:col>
      <xdr:colOff>45948</xdr:colOff>
      <xdr:row>12</xdr:row>
      <xdr:rowOff>73096</xdr:rowOff>
    </xdr:to>
    <xdr:sp macro="" textlink="">
      <xdr:nvSpPr>
        <xdr:cNvPr id="70" name="AutoShape 133">
          <a:extLst>
            <a:ext uri="{FF2B5EF4-FFF2-40B4-BE49-F238E27FC236}">
              <a16:creationId xmlns:a16="http://schemas.microsoft.com/office/drawing/2014/main" id="{00000000-0008-0000-0E00-000046000000}"/>
            </a:ext>
          </a:extLst>
        </xdr:cNvPr>
        <xdr:cNvSpPr>
          <a:spLocks noChangeArrowheads="1"/>
        </xdr:cNvSpPr>
      </xdr:nvSpPr>
      <xdr:spPr bwMode="auto">
        <a:xfrm>
          <a:off x="6041073" y="1877279"/>
          <a:ext cx="710475" cy="138917"/>
        </a:xfrm>
        <a:prstGeom prst="rightArrow">
          <a:avLst>
            <a:gd name="adj1" fmla="val 50000"/>
            <a:gd name="adj2" fmla="val 125419"/>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9</xdr:col>
      <xdr:colOff>571850</xdr:colOff>
      <xdr:row>14</xdr:row>
      <xdr:rowOff>142195</xdr:rowOff>
    </xdr:from>
    <xdr:to>
      <xdr:col>11</xdr:col>
      <xdr:colOff>73276</xdr:colOff>
      <xdr:row>15</xdr:row>
      <xdr:rowOff>109264</xdr:rowOff>
    </xdr:to>
    <xdr:sp macro="" textlink="">
      <xdr:nvSpPr>
        <xdr:cNvPr id="71" name="AutoShape 136">
          <a:extLst>
            <a:ext uri="{FF2B5EF4-FFF2-40B4-BE49-F238E27FC236}">
              <a16:creationId xmlns:a16="http://schemas.microsoft.com/office/drawing/2014/main" id="{00000000-0008-0000-0E00-000047000000}"/>
            </a:ext>
          </a:extLst>
        </xdr:cNvPr>
        <xdr:cNvSpPr>
          <a:spLocks noChangeArrowheads="1"/>
        </xdr:cNvSpPr>
      </xdr:nvSpPr>
      <xdr:spPr bwMode="auto">
        <a:xfrm>
          <a:off x="6058250" y="2409145"/>
          <a:ext cx="720626" cy="128994"/>
        </a:xfrm>
        <a:prstGeom prst="rightArrow">
          <a:avLst>
            <a:gd name="adj1" fmla="val 50000"/>
            <a:gd name="adj2" fmla="val 136997"/>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12</xdr:col>
      <xdr:colOff>69531</xdr:colOff>
      <xdr:row>11</xdr:row>
      <xdr:rowOff>48479</xdr:rowOff>
    </xdr:from>
    <xdr:to>
      <xdr:col>12</xdr:col>
      <xdr:colOff>577014</xdr:colOff>
      <xdr:row>12</xdr:row>
      <xdr:rowOff>25471</xdr:rowOff>
    </xdr:to>
    <xdr:sp macro="" textlink="">
      <xdr:nvSpPr>
        <xdr:cNvPr id="72" name="AutoShape 143">
          <a:extLst>
            <a:ext uri="{FF2B5EF4-FFF2-40B4-BE49-F238E27FC236}">
              <a16:creationId xmlns:a16="http://schemas.microsoft.com/office/drawing/2014/main" id="{00000000-0008-0000-0E00-000048000000}"/>
            </a:ext>
          </a:extLst>
        </xdr:cNvPr>
        <xdr:cNvSpPr>
          <a:spLocks noChangeArrowheads="1"/>
        </xdr:cNvSpPr>
      </xdr:nvSpPr>
      <xdr:spPr bwMode="auto">
        <a:xfrm>
          <a:off x="7384731" y="1829654"/>
          <a:ext cx="507483" cy="138917"/>
        </a:xfrm>
        <a:prstGeom prst="rightArrow">
          <a:avLst>
            <a:gd name="adj1" fmla="val 50000"/>
            <a:gd name="adj2" fmla="val 8958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266701</xdr:colOff>
      <xdr:row>8</xdr:row>
      <xdr:rowOff>66676</xdr:rowOff>
    </xdr:from>
    <xdr:to>
      <xdr:col>5</xdr:col>
      <xdr:colOff>371475</xdr:colOff>
      <xdr:row>12</xdr:row>
      <xdr:rowOff>104775</xdr:rowOff>
    </xdr:to>
    <xdr:sp macro="" textlink="">
      <xdr:nvSpPr>
        <xdr:cNvPr id="73" name="Text Box 128">
          <a:extLst>
            <a:ext uri="{FF2B5EF4-FFF2-40B4-BE49-F238E27FC236}">
              <a16:creationId xmlns:a16="http://schemas.microsoft.com/office/drawing/2014/main" id="{00000000-0008-0000-0E00-000049000000}"/>
            </a:ext>
          </a:extLst>
        </xdr:cNvPr>
        <xdr:cNvSpPr txBox="1">
          <a:spLocks noChangeArrowheads="1"/>
        </xdr:cNvSpPr>
      </xdr:nvSpPr>
      <xdr:spPr bwMode="auto">
        <a:xfrm>
          <a:off x="1485901" y="1362076"/>
          <a:ext cx="1933574" cy="685799"/>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a:ln>
      </xdr:spPr>
      <xdr:txBody>
        <a:bodyPr vertOverflow="clip" wrap="square" lIns="36576" tIns="27432" rIns="36576" bIns="0" anchor="t" upright="1"/>
        <a:lstStyle/>
        <a:p>
          <a:pPr algn="ctr" rtl="0">
            <a:defRPr sz="1000"/>
          </a:pPr>
          <a:r>
            <a:rPr lang="en-US" sz="1400" b="1" i="0" u="none" strike="noStrike" baseline="0">
              <a:ln>
                <a:noFill/>
                <a:prstDash val="sysDash"/>
              </a:ln>
              <a:solidFill>
                <a:srgbClr val="000000"/>
              </a:solidFill>
              <a:latin typeface="Arial"/>
              <a:cs typeface="Arial"/>
            </a:rPr>
            <a:t>Electrode Materials Preparation</a:t>
          </a:r>
        </a:p>
        <a:p>
          <a:pPr algn="ctr" rtl="0">
            <a:defRPr sz="1000"/>
          </a:pPr>
          <a:r>
            <a:rPr lang="en-US" sz="1400" b="1" i="0" u="none" strike="noStrike" baseline="0">
              <a:ln>
                <a:noFill/>
                <a:prstDash val="sysDash"/>
              </a:ln>
              <a:solidFill>
                <a:srgbClr val="008000"/>
              </a:solidFill>
              <a:latin typeface="Arial"/>
              <a:cs typeface="Arial"/>
            </a:rPr>
            <a:t>Positive</a:t>
          </a:r>
        </a:p>
        <a:p>
          <a:pPr algn="ctr" rtl="0">
            <a:defRPr sz="1000"/>
          </a:pPr>
          <a:endParaRPr lang="en-US" sz="1400" b="1" i="0" u="none" strike="noStrike" baseline="0">
            <a:ln>
              <a:noFill/>
              <a:prstDash val="sysDash"/>
            </a:ln>
            <a:solidFill>
              <a:srgbClr val="000000"/>
            </a:solidFill>
            <a:latin typeface="Arial"/>
            <a:cs typeface="Arial"/>
          </a:endParaRPr>
        </a:p>
        <a:p>
          <a:pPr algn="ctr" rtl="0">
            <a:defRPr sz="1000"/>
          </a:pPr>
          <a:endParaRPr lang="en-US" sz="1400" b="1" i="0" u="none" strike="noStrike" baseline="0">
            <a:ln>
              <a:noFill/>
              <a:prstDash val="sysDash"/>
            </a:ln>
            <a:solidFill>
              <a:srgbClr val="996633"/>
            </a:solidFill>
            <a:latin typeface="Arial"/>
            <a:cs typeface="Arial"/>
          </a:endParaRPr>
        </a:p>
        <a:p>
          <a:pPr algn="ctr" rtl="0">
            <a:defRPr sz="1000"/>
          </a:pPr>
          <a:r>
            <a:rPr lang="en-US" sz="1400" b="1" i="0" u="none" strike="noStrike" baseline="0">
              <a:ln>
                <a:noFill/>
                <a:prstDash val="sysDash"/>
              </a:ln>
              <a:solidFill>
                <a:srgbClr val="FF0000"/>
              </a:solidFill>
              <a:latin typeface="Arial"/>
              <a:cs typeface="Arial"/>
            </a:rPr>
            <a:t>Negative</a:t>
          </a:r>
        </a:p>
        <a:p>
          <a:pPr algn="ctr" rtl="0">
            <a:defRPr sz="1000"/>
          </a:pPr>
          <a:endParaRPr lang="en-US" sz="1400" b="1" i="0" u="none" strike="noStrike" baseline="0">
            <a:ln>
              <a:noFill/>
              <a:prstDash val="sysDash"/>
            </a:ln>
            <a:solidFill>
              <a:srgbClr val="FF0000"/>
            </a:solidFill>
            <a:latin typeface="Arial"/>
            <a:cs typeface="Arial"/>
          </a:endParaRPr>
        </a:p>
      </xdr:txBody>
    </xdr:sp>
    <xdr:clientData/>
  </xdr:twoCellAnchor>
  <xdr:twoCellAnchor>
    <xdr:from>
      <xdr:col>2</xdr:col>
      <xdr:colOff>381000</xdr:colOff>
      <xdr:row>12</xdr:row>
      <xdr:rowOff>76200</xdr:rowOff>
    </xdr:from>
    <xdr:to>
      <xdr:col>5</xdr:col>
      <xdr:colOff>371475</xdr:colOff>
      <xdr:row>16</xdr:row>
      <xdr:rowOff>28575</xdr:rowOff>
    </xdr:to>
    <xdr:sp macro="" textlink="">
      <xdr:nvSpPr>
        <xdr:cNvPr id="74" name="Text Box 125">
          <a:extLst>
            <a:ext uri="{FF2B5EF4-FFF2-40B4-BE49-F238E27FC236}">
              <a16:creationId xmlns:a16="http://schemas.microsoft.com/office/drawing/2014/main" id="{00000000-0008-0000-0E00-00004A000000}"/>
            </a:ext>
          </a:extLst>
        </xdr:cNvPr>
        <xdr:cNvSpPr txBox="1">
          <a:spLocks noChangeArrowheads="1"/>
        </xdr:cNvSpPr>
      </xdr:nvSpPr>
      <xdr:spPr bwMode="auto">
        <a:xfrm>
          <a:off x="1600200" y="2019300"/>
          <a:ext cx="1819275" cy="600075"/>
        </a:xfrm>
        <a:prstGeom prst="rect">
          <a:avLst/>
        </a:prstGeom>
        <a:solidFill>
          <a:srgbClr xmlns:mc="http://schemas.openxmlformats.org/markup-compatibility/2006" xmlns:a14="http://schemas.microsoft.com/office/drawing/2010/main" val="FFFFFF" mc:Ignorable="a14" a14:legacySpreadsheetColorIndex="65"/>
        </a:solidFill>
        <a:ln w="9525">
          <a:noFill/>
          <a:miter lim="800000"/>
          <a:headEnd/>
          <a:tailEnd/>
        </a:ln>
      </xdr:spPr>
      <xdr:txBody>
        <a:bodyPr vertOverflow="clip" wrap="square" lIns="36576" tIns="27432" rIns="36576" bIns="0" anchor="t" upright="1"/>
        <a:lstStyle/>
        <a:p>
          <a:pPr algn="ctr" rtl="0">
            <a:defRPr sz="1000"/>
          </a:pPr>
          <a:endParaRPr lang="en-US" sz="1400" b="1" i="0" u="none" strike="noStrike" baseline="0">
            <a:solidFill>
              <a:srgbClr val="808080"/>
            </a:solidFill>
            <a:latin typeface="Arial"/>
            <a:cs typeface="Arial"/>
          </a:endParaRPr>
        </a:p>
        <a:p>
          <a:pPr algn="ctr" rtl="0">
            <a:defRPr sz="1000"/>
          </a:pPr>
          <a:r>
            <a:rPr lang="en-US" sz="1400" b="1" i="0" u="none" strike="noStrike" baseline="0">
              <a:solidFill>
                <a:srgbClr val="FF0000"/>
              </a:solidFill>
              <a:latin typeface="Arial"/>
              <a:cs typeface="Arial"/>
            </a:rPr>
            <a:t>Negative</a:t>
          </a:r>
        </a:p>
      </xdr:txBody>
    </xdr:sp>
    <xdr:clientData/>
  </xdr:twoCellAnchor>
  <xdr:twoCellAnchor>
    <xdr:from>
      <xdr:col>2</xdr:col>
      <xdr:colOff>393501</xdr:colOff>
      <xdr:row>12</xdr:row>
      <xdr:rowOff>104455</xdr:rowOff>
    </xdr:from>
    <xdr:to>
      <xdr:col>10</xdr:col>
      <xdr:colOff>256591</xdr:colOff>
      <xdr:row>12</xdr:row>
      <xdr:rowOff>104455</xdr:rowOff>
    </xdr:to>
    <xdr:sp macro="" textlink="">
      <xdr:nvSpPr>
        <xdr:cNvPr id="75" name="Line 131">
          <a:extLst>
            <a:ext uri="{FF2B5EF4-FFF2-40B4-BE49-F238E27FC236}">
              <a16:creationId xmlns:a16="http://schemas.microsoft.com/office/drawing/2014/main" id="{00000000-0008-0000-0E00-00004B000000}"/>
            </a:ext>
          </a:extLst>
        </xdr:cNvPr>
        <xdr:cNvSpPr>
          <a:spLocks noChangeShapeType="1"/>
        </xdr:cNvSpPr>
      </xdr:nvSpPr>
      <xdr:spPr bwMode="auto">
        <a:xfrm flipV="1">
          <a:off x="1612701" y="2047555"/>
          <a:ext cx="47398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16</xdr:row>
      <xdr:rowOff>57149</xdr:rowOff>
    </xdr:from>
    <xdr:to>
      <xdr:col>8</xdr:col>
      <xdr:colOff>361950</xdr:colOff>
      <xdr:row>19</xdr:row>
      <xdr:rowOff>114299</xdr:rowOff>
    </xdr:to>
    <xdr:sp macro="" textlink="">
      <xdr:nvSpPr>
        <xdr:cNvPr id="76" name="Text Box 109">
          <a:extLst>
            <a:ext uri="{FF2B5EF4-FFF2-40B4-BE49-F238E27FC236}">
              <a16:creationId xmlns:a16="http://schemas.microsoft.com/office/drawing/2014/main" id="{00000000-0008-0000-0E00-00004C000000}"/>
            </a:ext>
          </a:extLst>
        </xdr:cNvPr>
        <xdr:cNvSpPr txBox="1">
          <a:spLocks noChangeArrowheads="1"/>
        </xdr:cNvSpPr>
      </xdr:nvSpPr>
      <xdr:spPr bwMode="auto">
        <a:xfrm>
          <a:off x="3162300" y="2647949"/>
          <a:ext cx="2076450" cy="542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Control Laboratory</a:t>
          </a:r>
        </a:p>
      </xdr:txBody>
    </xdr:sp>
    <xdr:clientData/>
  </xdr:twoCellAnchor>
  <xdr:twoCellAnchor>
    <xdr:from>
      <xdr:col>5</xdr:col>
      <xdr:colOff>86525</xdr:colOff>
      <xdr:row>10</xdr:row>
      <xdr:rowOff>141343</xdr:rowOff>
    </xdr:from>
    <xdr:to>
      <xdr:col>6</xdr:col>
      <xdr:colOff>106204</xdr:colOff>
      <xdr:row>11</xdr:row>
      <xdr:rowOff>128258</xdr:rowOff>
    </xdr:to>
    <xdr:sp macro="" textlink="">
      <xdr:nvSpPr>
        <xdr:cNvPr id="77" name="AutoShape 137">
          <a:extLst>
            <a:ext uri="{FF2B5EF4-FFF2-40B4-BE49-F238E27FC236}">
              <a16:creationId xmlns:a16="http://schemas.microsoft.com/office/drawing/2014/main" id="{00000000-0008-0000-0E00-00004D000000}"/>
            </a:ext>
          </a:extLst>
        </xdr:cNvPr>
        <xdr:cNvSpPr>
          <a:spLocks noChangeArrowheads="1"/>
        </xdr:cNvSpPr>
      </xdr:nvSpPr>
      <xdr:spPr bwMode="auto">
        <a:xfrm>
          <a:off x="3134525" y="1760593"/>
          <a:ext cx="629279" cy="148840"/>
        </a:xfrm>
        <a:prstGeom prst="rightArrow">
          <a:avLst>
            <a:gd name="adj1" fmla="val 50000"/>
            <a:gd name="adj2" fmla="val 103680"/>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5</xdr:col>
      <xdr:colOff>135399</xdr:colOff>
      <xdr:row>13</xdr:row>
      <xdr:rowOff>131875</xdr:rowOff>
    </xdr:from>
    <xdr:to>
      <xdr:col>6</xdr:col>
      <xdr:colOff>155078</xdr:colOff>
      <xdr:row>14</xdr:row>
      <xdr:rowOff>118790</xdr:rowOff>
    </xdr:to>
    <xdr:sp macro="" textlink="">
      <xdr:nvSpPr>
        <xdr:cNvPr id="78" name="AutoShape 137">
          <a:extLst>
            <a:ext uri="{FF2B5EF4-FFF2-40B4-BE49-F238E27FC236}">
              <a16:creationId xmlns:a16="http://schemas.microsoft.com/office/drawing/2014/main" id="{00000000-0008-0000-0E00-00004E000000}"/>
            </a:ext>
          </a:extLst>
        </xdr:cNvPr>
        <xdr:cNvSpPr>
          <a:spLocks noChangeArrowheads="1"/>
        </xdr:cNvSpPr>
      </xdr:nvSpPr>
      <xdr:spPr bwMode="auto">
        <a:xfrm>
          <a:off x="3183399" y="2236900"/>
          <a:ext cx="629279" cy="148840"/>
        </a:xfrm>
        <a:prstGeom prst="rightArrow">
          <a:avLst>
            <a:gd name="adj1" fmla="val 50000"/>
            <a:gd name="adj2" fmla="val 103680"/>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12</xdr:col>
      <xdr:colOff>363155</xdr:colOff>
      <xdr:row>22</xdr:row>
      <xdr:rowOff>47624</xdr:rowOff>
    </xdr:from>
    <xdr:to>
      <xdr:col>13</xdr:col>
      <xdr:colOff>127704</xdr:colOff>
      <xdr:row>23</xdr:row>
      <xdr:rowOff>34352</xdr:rowOff>
    </xdr:to>
    <xdr:sp macro="" textlink="">
      <xdr:nvSpPr>
        <xdr:cNvPr id="79" name="AutoShape 143">
          <a:extLst>
            <a:ext uri="{FF2B5EF4-FFF2-40B4-BE49-F238E27FC236}">
              <a16:creationId xmlns:a16="http://schemas.microsoft.com/office/drawing/2014/main" id="{00000000-0008-0000-0E00-00004F000000}"/>
            </a:ext>
          </a:extLst>
        </xdr:cNvPr>
        <xdr:cNvSpPr>
          <a:spLocks noChangeArrowheads="1"/>
        </xdr:cNvSpPr>
      </xdr:nvSpPr>
      <xdr:spPr bwMode="auto">
        <a:xfrm>
          <a:off x="7678355" y="3609974"/>
          <a:ext cx="374149" cy="148653"/>
        </a:xfrm>
        <a:prstGeom prst="rightArrow">
          <a:avLst>
            <a:gd name="adj1" fmla="val 50000"/>
            <a:gd name="adj2" fmla="val 8958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219076</xdr:colOff>
      <xdr:row>26</xdr:row>
      <xdr:rowOff>142875</xdr:rowOff>
    </xdr:from>
    <xdr:to>
      <xdr:col>10</xdr:col>
      <xdr:colOff>266700</xdr:colOff>
      <xdr:row>35</xdr:row>
      <xdr:rowOff>0</xdr:rowOff>
    </xdr:to>
    <xdr:sp macro="" textlink="">
      <xdr:nvSpPr>
        <xdr:cNvPr id="80" name="Text Box 121">
          <a:extLst>
            <a:ext uri="{FF2B5EF4-FFF2-40B4-BE49-F238E27FC236}">
              <a16:creationId xmlns:a16="http://schemas.microsoft.com/office/drawing/2014/main" id="{00000000-0008-0000-0E00-000050000000}"/>
            </a:ext>
          </a:extLst>
        </xdr:cNvPr>
        <xdr:cNvSpPr txBox="1">
          <a:spLocks noChangeArrowheads="1"/>
        </xdr:cNvSpPr>
      </xdr:nvSpPr>
      <xdr:spPr bwMode="auto">
        <a:xfrm>
          <a:off x="1438276" y="4352925"/>
          <a:ext cx="4924424" cy="13144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Formation Cycling, Testing</a:t>
          </a:r>
        </a:p>
        <a:p>
          <a:pPr algn="ctr" rtl="0">
            <a:defRPr sz="1000"/>
          </a:pPr>
          <a:r>
            <a:rPr lang="en-US" sz="1400" b="1" i="0" u="none" strike="noStrike" baseline="0">
              <a:solidFill>
                <a:srgbClr val="000000"/>
              </a:solidFill>
              <a:latin typeface="Arial"/>
              <a:cs typeface="Arial"/>
            </a:rPr>
            <a:t>and Final Cell Sealing</a:t>
          </a:r>
        </a:p>
      </xdr:txBody>
    </xdr:sp>
    <xdr:clientData/>
  </xdr:twoCellAnchor>
  <xdr:twoCellAnchor>
    <xdr:from>
      <xdr:col>6</xdr:col>
      <xdr:colOff>18604</xdr:colOff>
      <xdr:row>25</xdr:row>
      <xdr:rowOff>61375</xdr:rowOff>
    </xdr:from>
    <xdr:to>
      <xdr:col>6</xdr:col>
      <xdr:colOff>180998</xdr:colOff>
      <xdr:row>27</xdr:row>
      <xdr:rowOff>154277</xdr:rowOff>
    </xdr:to>
    <xdr:sp macro="" textlink="">
      <xdr:nvSpPr>
        <xdr:cNvPr id="81" name="AutoShape 155">
          <a:extLst>
            <a:ext uri="{FF2B5EF4-FFF2-40B4-BE49-F238E27FC236}">
              <a16:creationId xmlns:a16="http://schemas.microsoft.com/office/drawing/2014/main" id="{00000000-0008-0000-0E00-000051000000}"/>
            </a:ext>
          </a:extLst>
        </xdr:cNvPr>
        <xdr:cNvSpPr>
          <a:spLocks noChangeArrowheads="1"/>
        </xdr:cNvSpPr>
      </xdr:nvSpPr>
      <xdr:spPr bwMode="auto">
        <a:xfrm rot="16200000">
          <a:off x="3549025" y="4236679"/>
          <a:ext cx="416752" cy="162394"/>
        </a:xfrm>
        <a:prstGeom prst="rightArrow">
          <a:avLst>
            <a:gd name="adj1" fmla="val 50000"/>
            <a:gd name="adj2" fmla="val 108495"/>
          </a:avLst>
        </a:prstGeom>
        <a:solidFill>
          <a:srgbClr xmlns:mc="http://schemas.openxmlformats.org/markup-compatibility/2006" xmlns:a14="http://schemas.microsoft.com/office/drawing/2010/main" val="993366" mc:Ignorable="a14" a14:legacySpreadsheetColorIndex="61">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10</xdr:col>
      <xdr:colOff>253782</xdr:colOff>
      <xdr:row>29</xdr:row>
      <xdr:rowOff>28575</xdr:rowOff>
    </xdr:from>
    <xdr:to>
      <xdr:col>14</xdr:col>
      <xdr:colOff>238125</xdr:colOff>
      <xdr:row>34</xdr:row>
      <xdr:rowOff>152400</xdr:rowOff>
    </xdr:to>
    <xdr:sp macro="" textlink="">
      <xdr:nvSpPr>
        <xdr:cNvPr id="82" name="Text Box 121">
          <a:extLst>
            <a:ext uri="{FF2B5EF4-FFF2-40B4-BE49-F238E27FC236}">
              <a16:creationId xmlns:a16="http://schemas.microsoft.com/office/drawing/2014/main" id="{00000000-0008-0000-0E00-000052000000}"/>
            </a:ext>
          </a:extLst>
        </xdr:cNvPr>
        <xdr:cNvSpPr txBox="1">
          <a:spLocks noChangeArrowheads="1"/>
        </xdr:cNvSpPr>
      </xdr:nvSpPr>
      <xdr:spPr bwMode="auto">
        <a:xfrm>
          <a:off x="6349782" y="4724400"/>
          <a:ext cx="2422743" cy="9334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Electrolyte Filling</a:t>
          </a:r>
        </a:p>
        <a:p>
          <a:pPr algn="ctr" rtl="0">
            <a:defRPr sz="1000"/>
          </a:pPr>
          <a:r>
            <a:rPr lang="en-US" sz="1400" b="1" i="0" u="none" strike="noStrike" baseline="0">
              <a:solidFill>
                <a:srgbClr val="000000"/>
              </a:solidFill>
              <a:latin typeface="Arial"/>
              <a:cs typeface="Arial"/>
            </a:rPr>
            <a:t>and Cell Closing</a:t>
          </a:r>
        </a:p>
      </xdr:txBody>
    </xdr:sp>
    <xdr:clientData/>
  </xdr:twoCellAnchor>
  <xdr:twoCellAnchor>
    <xdr:from>
      <xdr:col>13</xdr:col>
      <xdr:colOff>478020</xdr:colOff>
      <xdr:row>27</xdr:row>
      <xdr:rowOff>155613</xdr:rowOff>
    </xdr:from>
    <xdr:to>
      <xdr:col>14</xdr:col>
      <xdr:colOff>9525</xdr:colOff>
      <xdr:row>31</xdr:row>
      <xdr:rowOff>95555</xdr:rowOff>
    </xdr:to>
    <xdr:sp macro="" textlink="">
      <xdr:nvSpPr>
        <xdr:cNvPr id="83" name="AutoShape 144">
          <a:extLst>
            <a:ext uri="{FF2B5EF4-FFF2-40B4-BE49-F238E27FC236}">
              <a16:creationId xmlns:a16="http://schemas.microsoft.com/office/drawing/2014/main" id="{00000000-0008-0000-0E00-000053000000}"/>
            </a:ext>
          </a:extLst>
        </xdr:cNvPr>
        <xdr:cNvSpPr>
          <a:spLocks noChangeArrowheads="1"/>
        </xdr:cNvSpPr>
      </xdr:nvSpPr>
      <xdr:spPr bwMode="auto">
        <a:xfrm>
          <a:off x="8402820" y="4527588"/>
          <a:ext cx="141105" cy="587642"/>
        </a:xfrm>
        <a:prstGeom prst="downArrow">
          <a:avLst>
            <a:gd name="adj1" fmla="val 50000"/>
            <a:gd name="adj2" fmla="val 9705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0</xdr:col>
      <xdr:colOff>171450</xdr:colOff>
      <xdr:row>29</xdr:row>
      <xdr:rowOff>28575</xdr:rowOff>
    </xdr:from>
    <xdr:to>
      <xdr:col>2</xdr:col>
      <xdr:colOff>323850</xdr:colOff>
      <xdr:row>35</xdr:row>
      <xdr:rowOff>0</xdr:rowOff>
    </xdr:to>
    <xdr:sp macro="" textlink="">
      <xdr:nvSpPr>
        <xdr:cNvPr id="84" name="Text Box 107">
          <a:extLst>
            <a:ext uri="{FF2B5EF4-FFF2-40B4-BE49-F238E27FC236}">
              <a16:creationId xmlns:a16="http://schemas.microsoft.com/office/drawing/2014/main" id="{00000000-0008-0000-0E00-000054000000}"/>
            </a:ext>
          </a:extLst>
        </xdr:cNvPr>
        <xdr:cNvSpPr txBox="1">
          <a:spLocks noChangeArrowheads="1"/>
        </xdr:cNvSpPr>
      </xdr:nvSpPr>
      <xdr:spPr bwMode="auto">
        <a:xfrm>
          <a:off x="171450" y="4724400"/>
          <a:ext cx="1371600" cy="9429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endParaRPr lang="en-US" sz="1400" b="1" i="0" u="none" strike="noStrike" baseline="0">
            <a:solidFill>
              <a:srgbClr val="000000"/>
            </a:solidFill>
            <a:latin typeface="Arial"/>
            <a:cs typeface="Arial"/>
          </a:endParaRPr>
        </a:p>
        <a:p>
          <a:pPr algn="ctr" rtl="0">
            <a:defRPr sz="1000"/>
          </a:pPr>
          <a:r>
            <a:rPr lang="en-US" sz="1400" b="1" i="0" u="none" strike="noStrike" baseline="0">
              <a:solidFill>
                <a:srgbClr val="000000"/>
              </a:solidFill>
              <a:latin typeface="Arial"/>
              <a:cs typeface="Arial"/>
            </a:rPr>
            <a:t>Cell and Scrap Recycling</a:t>
          </a:r>
        </a:p>
      </xdr:txBody>
    </xdr:sp>
    <xdr:clientData/>
  </xdr:twoCellAnchor>
  <xdr:twoCellAnchor>
    <xdr:from>
      <xdr:col>9</xdr:col>
      <xdr:colOff>420319</xdr:colOff>
      <xdr:row>31</xdr:row>
      <xdr:rowOff>123824</xdr:rowOff>
    </xdr:from>
    <xdr:to>
      <xdr:col>10</xdr:col>
      <xdr:colOff>511045</xdr:colOff>
      <xdr:row>32</xdr:row>
      <xdr:rowOff>116194</xdr:rowOff>
    </xdr:to>
    <xdr:sp macro="" textlink="">
      <xdr:nvSpPr>
        <xdr:cNvPr id="85" name="AutoShape 146">
          <a:extLst>
            <a:ext uri="{FF2B5EF4-FFF2-40B4-BE49-F238E27FC236}">
              <a16:creationId xmlns:a16="http://schemas.microsoft.com/office/drawing/2014/main" id="{00000000-0008-0000-0E00-000055000000}"/>
            </a:ext>
          </a:extLst>
        </xdr:cNvPr>
        <xdr:cNvSpPr>
          <a:spLocks noChangeArrowheads="1"/>
        </xdr:cNvSpPr>
      </xdr:nvSpPr>
      <xdr:spPr bwMode="auto">
        <a:xfrm rot="10800000">
          <a:off x="5906719" y="5143499"/>
          <a:ext cx="700326" cy="154295"/>
        </a:xfrm>
        <a:prstGeom prst="rightArrow">
          <a:avLst>
            <a:gd name="adj1" fmla="val 50000"/>
            <a:gd name="adj2" fmla="val 121726"/>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14</xdr:col>
      <xdr:colOff>25502</xdr:colOff>
      <xdr:row>12</xdr:row>
      <xdr:rowOff>76200</xdr:rowOff>
    </xdr:from>
    <xdr:to>
      <xdr:col>14</xdr:col>
      <xdr:colOff>209549</xdr:colOff>
      <xdr:row>14</xdr:row>
      <xdr:rowOff>127879</xdr:rowOff>
    </xdr:to>
    <xdr:sp macro="" textlink="">
      <xdr:nvSpPr>
        <xdr:cNvPr id="89" name="AutoShape 144">
          <a:extLst>
            <a:ext uri="{FF2B5EF4-FFF2-40B4-BE49-F238E27FC236}">
              <a16:creationId xmlns:a16="http://schemas.microsoft.com/office/drawing/2014/main" id="{00000000-0008-0000-0E00-000059000000}"/>
            </a:ext>
          </a:extLst>
        </xdr:cNvPr>
        <xdr:cNvSpPr>
          <a:spLocks noChangeArrowheads="1"/>
        </xdr:cNvSpPr>
      </xdr:nvSpPr>
      <xdr:spPr bwMode="auto">
        <a:xfrm>
          <a:off x="8559902" y="2019300"/>
          <a:ext cx="184047" cy="375529"/>
        </a:xfrm>
        <a:prstGeom prst="downArrow">
          <a:avLst>
            <a:gd name="adj1" fmla="val 50000"/>
            <a:gd name="adj2" fmla="val 97513"/>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xdr:col>
      <xdr:colOff>282476</xdr:colOff>
      <xdr:row>36</xdr:row>
      <xdr:rowOff>136892</xdr:rowOff>
    </xdr:from>
    <xdr:to>
      <xdr:col>2</xdr:col>
      <xdr:colOff>383351</xdr:colOff>
      <xdr:row>37</xdr:row>
      <xdr:rowOff>123807</xdr:rowOff>
    </xdr:to>
    <xdr:sp macro="" textlink="">
      <xdr:nvSpPr>
        <xdr:cNvPr id="90" name="AutoShape 111">
          <a:extLst>
            <a:ext uri="{FF2B5EF4-FFF2-40B4-BE49-F238E27FC236}">
              <a16:creationId xmlns:a16="http://schemas.microsoft.com/office/drawing/2014/main" id="{00000000-0008-0000-0E00-00005A000000}"/>
            </a:ext>
          </a:extLst>
        </xdr:cNvPr>
        <xdr:cNvSpPr>
          <a:spLocks noChangeArrowheads="1"/>
        </xdr:cNvSpPr>
      </xdr:nvSpPr>
      <xdr:spPr bwMode="auto">
        <a:xfrm>
          <a:off x="892076" y="5966192"/>
          <a:ext cx="710475" cy="148840"/>
        </a:xfrm>
        <a:prstGeom prst="rightArrow">
          <a:avLst>
            <a:gd name="adj1" fmla="val 50000"/>
            <a:gd name="adj2" fmla="val 117058"/>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10</xdr:col>
      <xdr:colOff>266700</xdr:colOff>
      <xdr:row>16</xdr:row>
      <xdr:rowOff>53121</xdr:rowOff>
    </xdr:from>
    <xdr:to>
      <xdr:col>14</xdr:col>
      <xdr:colOff>238125</xdr:colOff>
      <xdr:row>21</xdr:row>
      <xdr:rowOff>66675</xdr:rowOff>
    </xdr:to>
    <xdr:sp macro="" textlink="">
      <xdr:nvSpPr>
        <xdr:cNvPr id="91" name="Text Box 122">
          <a:extLst>
            <a:ext uri="{FF2B5EF4-FFF2-40B4-BE49-F238E27FC236}">
              <a16:creationId xmlns:a16="http://schemas.microsoft.com/office/drawing/2014/main" id="{00000000-0008-0000-0E00-00005B000000}"/>
            </a:ext>
          </a:extLst>
        </xdr:cNvPr>
        <xdr:cNvSpPr txBox="1">
          <a:spLocks noChangeArrowheads="1"/>
        </xdr:cNvSpPr>
      </xdr:nvSpPr>
      <xdr:spPr bwMode="auto">
        <a:xfrm>
          <a:off x="6362700" y="2643921"/>
          <a:ext cx="2409825" cy="823179"/>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                 Cell Stacking</a:t>
          </a:r>
        </a:p>
      </xdr:txBody>
    </xdr:sp>
    <xdr:clientData/>
  </xdr:twoCellAnchor>
  <xdr:twoCellAnchor>
    <xdr:from>
      <xdr:col>11</xdr:col>
      <xdr:colOff>449135</xdr:colOff>
      <xdr:row>19</xdr:row>
      <xdr:rowOff>74773</xdr:rowOff>
    </xdr:from>
    <xdr:to>
      <xdr:col>11</xdr:col>
      <xdr:colOff>600074</xdr:colOff>
      <xdr:row>22</xdr:row>
      <xdr:rowOff>89118</xdr:rowOff>
    </xdr:to>
    <xdr:sp macro="" textlink="">
      <xdr:nvSpPr>
        <xdr:cNvPr id="93" name="AutoShape 144">
          <a:extLst>
            <a:ext uri="{FF2B5EF4-FFF2-40B4-BE49-F238E27FC236}">
              <a16:creationId xmlns:a16="http://schemas.microsoft.com/office/drawing/2014/main" id="{00000000-0008-0000-0E00-00005D000000}"/>
            </a:ext>
          </a:extLst>
        </xdr:cNvPr>
        <xdr:cNvSpPr>
          <a:spLocks noChangeArrowheads="1"/>
        </xdr:cNvSpPr>
      </xdr:nvSpPr>
      <xdr:spPr bwMode="auto">
        <a:xfrm>
          <a:off x="7154735" y="3151348"/>
          <a:ext cx="150939" cy="500120"/>
        </a:xfrm>
        <a:prstGeom prst="downArrow">
          <a:avLst>
            <a:gd name="adj1" fmla="val 50000"/>
            <a:gd name="adj2" fmla="val 97059"/>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12</xdr:col>
      <xdr:colOff>429615</xdr:colOff>
      <xdr:row>14</xdr:row>
      <xdr:rowOff>146570</xdr:rowOff>
    </xdr:from>
    <xdr:to>
      <xdr:col>12</xdr:col>
      <xdr:colOff>561561</xdr:colOff>
      <xdr:row>17</xdr:row>
      <xdr:rowOff>127161</xdr:rowOff>
    </xdr:to>
    <xdr:sp macro="" textlink="">
      <xdr:nvSpPr>
        <xdr:cNvPr id="94" name="AutoShape 144">
          <a:extLst>
            <a:ext uri="{FF2B5EF4-FFF2-40B4-BE49-F238E27FC236}">
              <a16:creationId xmlns:a16="http://schemas.microsoft.com/office/drawing/2014/main" id="{00000000-0008-0000-0E00-00005E000000}"/>
            </a:ext>
          </a:extLst>
        </xdr:cNvPr>
        <xdr:cNvSpPr>
          <a:spLocks noChangeArrowheads="1"/>
        </xdr:cNvSpPr>
      </xdr:nvSpPr>
      <xdr:spPr bwMode="auto">
        <a:xfrm>
          <a:off x="7744815" y="2413520"/>
          <a:ext cx="131946" cy="466366"/>
        </a:xfrm>
        <a:prstGeom prst="downArrow">
          <a:avLst>
            <a:gd name="adj1" fmla="val 50000"/>
            <a:gd name="adj2" fmla="val 9705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209550</xdr:colOff>
      <xdr:row>16</xdr:row>
      <xdr:rowOff>57150</xdr:rowOff>
    </xdr:from>
    <xdr:to>
      <xdr:col>5</xdr:col>
      <xdr:colOff>123825</xdr:colOff>
      <xdr:row>26</xdr:row>
      <xdr:rowOff>152400</xdr:rowOff>
    </xdr:to>
    <xdr:sp macro="" textlink="">
      <xdr:nvSpPr>
        <xdr:cNvPr id="95" name="Text Box 114">
          <a:extLst>
            <a:ext uri="{FF2B5EF4-FFF2-40B4-BE49-F238E27FC236}">
              <a16:creationId xmlns:a16="http://schemas.microsoft.com/office/drawing/2014/main" id="{00000000-0008-0000-0E00-00005F000000}"/>
            </a:ext>
          </a:extLst>
        </xdr:cNvPr>
        <xdr:cNvSpPr txBox="1">
          <a:spLocks noChangeArrowheads="1"/>
        </xdr:cNvSpPr>
      </xdr:nvSpPr>
      <xdr:spPr bwMode="auto">
        <a:xfrm>
          <a:off x="1428750" y="2647950"/>
          <a:ext cx="1743075" cy="17145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0" anchor="t" upright="1"/>
        <a:lstStyle/>
        <a:p>
          <a:pPr algn="ctr" rtl="0">
            <a:defRPr sz="1000"/>
          </a:pPr>
          <a:endParaRPr lang="en-US" sz="1400" b="1" i="0" u="none" strike="noStrike" baseline="0">
            <a:solidFill>
              <a:srgbClr val="000000"/>
            </a:solidFill>
            <a:latin typeface="Arial"/>
            <a:cs typeface="Arial"/>
          </a:endParaRPr>
        </a:p>
        <a:p>
          <a:pPr algn="ctr" rtl="0">
            <a:defRPr sz="1000"/>
          </a:pPr>
          <a:endParaRPr lang="en-US" sz="1400" b="1" i="0" u="none" strike="noStrike" baseline="0">
            <a:solidFill>
              <a:srgbClr val="000000"/>
            </a:solidFill>
            <a:latin typeface="Arial"/>
            <a:cs typeface="Arial"/>
          </a:endParaRPr>
        </a:p>
        <a:p>
          <a:pPr algn="ctr" rtl="0">
            <a:defRPr sz="1000"/>
          </a:pPr>
          <a:r>
            <a:rPr lang="en-US" sz="1400" b="1" i="0" u="none" strike="noStrike" baseline="0">
              <a:solidFill>
                <a:srgbClr val="000000"/>
              </a:solidFill>
              <a:latin typeface="Arial"/>
              <a:cs typeface="Arial"/>
            </a:rPr>
            <a:t>Battery Pack Assembly and Testing</a:t>
          </a:r>
        </a:p>
        <a:p>
          <a:pPr algn="ctr" rtl="0">
            <a:defRPr sz="1000"/>
          </a:pPr>
          <a:endParaRPr lang="en-US" sz="1400" b="1" i="0" u="none" strike="noStrike" baseline="0">
            <a:solidFill>
              <a:srgbClr val="000000"/>
            </a:solidFill>
            <a:latin typeface="Arial"/>
            <a:cs typeface="Arial"/>
          </a:endParaRPr>
        </a:p>
      </xdr:txBody>
    </xdr:sp>
    <xdr:clientData/>
  </xdr:twoCellAnchor>
  <xdr:twoCellAnchor>
    <xdr:from>
      <xdr:col>4</xdr:col>
      <xdr:colOff>270618</xdr:colOff>
      <xdr:row>24</xdr:row>
      <xdr:rowOff>80801</xdr:rowOff>
    </xdr:from>
    <xdr:to>
      <xdr:col>5</xdr:col>
      <xdr:colOff>269997</xdr:colOff>
      <xdr:row>25</xdr:row>
      <xdr:rowOff>67717</xdr:rowOff>
    </xdr:to>
    <xdr:sp macro="" textlink="">
      <xdr:nvSpPr>
        <xdr:cNvPr id="96" name="AutoShape 152">
          <a:extLst>
            <a:ext uri="{FF2B5EF4-FFF2-40B4-BE49-F238E27FC236}">
              <a16:creationId xmlns:a16="http://schemas.microsoft.com/office/drawing/2014/main" id="{00000000-0008-0000-0E00-000060000000}"/>
            </a:ext>
          </a:extLst>
        </xdr:cNvPr>
        <xdr:cNvSpPr>
          <a:spLocks noChangeArrowheads="1"/>
        </xdr:cNvSpPr>
      </xdr:nvSpPr>
      <xdr:spPr bwMode="auto">
        <a:xfrm rot="10800000">
          <a:off x="2709018" y="3967001"/>
          <a:ext cx="608979" cy="148841"/>
        </a:xfrm>
        <a:prstGeom prst="rightArrow">
          <a:avLst>
            <a:gd name="adj1" fmla="val 50000"/>
            <a:gd name="adj2" fmla="val 100335"/>
          </a:avLst>
        </a:prstGeom>
        <a:solidFill>
          <a:srgbClr xmlns:mc="http://schemas.openxmlformats.org/markup-compatibility/2006" xmlns:a14="http://schemas.microsoft.com/office/drawing/2010/main" val="993366" mc:Ignorable="a14" a14:legacySpreadsheetColorIndex="61">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0</xdr:col>
      <xdr:colOff>171450</xdr:colOff>
      <xdr:row>16</xdr:row>
      <xdr:rowOff>104776</xdr:rowOff>
    </xdr:from>
    <xdr:to>
      <xdr:col>2</xdr:col>
      <xdr:colOff>323849</xdr:colOff>
      <xdr:row>29</xdr:row>
      <xdr:rowOff>76201</xdr:rowOff>
    </xdr:to>
    <xdr:sp macro="" textlink="">
      <xdr:nvSpPr>
        <xdr:cNvPr id="97" name="Text Box 106">
          <a:extLst>
            <a:ext uri="{FF2B5EF4-FFF2-40B4-BE49-F238E27FC236}">
              <a16:creationId xmlns:a16="http://schemas.microsoft.com/office/drawing/2014/main" id="{00000000-0008-0000-0E00-000061000000}"/>
            </a:ext>
          </a:extLst>
        </xdr:cNvPr>
        <xdr:cNvSpPr txBox="1">
          <a:spLocks noChangeArrowheads="1"/>
        </xdr:cNvSpPr>
      </xdr:nvSpPr>
      <xdr:spPr bwMode="auto">
        <a:xfrm>
          <a:off x="171450" y="2695576"/>
          <a:ext cx="1371599" cy="20764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Shipping</a:t>
          </a:r>
        </a:p>
      </xdr:txBody>
    </xdr:sp>
    <xdr:clientData/>
  </xdr:twoCellAnchor>
  <xdr:twoCellAnchor>
    <xdr:from>
      <xdr:col>1</xdr:col>
      <xdr:colOff>86354</xdr:colOff>
      <xdr:row>27</xdr:row>
      <xdr:rowOff>37931</xdr:rowOff>
    </xdr:from>
    <xdr:to>
      <xdr:col>1</xdr:col>
      <xdr:colOff>228449</xdr:colOff>
      <xdr:row>30</xdr:row>
      <xdr:rowOff>68135</xdr:rowOff>
    </xdr:to>
    <xdr:sp macro="" textlink="">
      <xdr:nvSpPr>
        <xdr:cNvPr id="98" name="AutoShape 117">
          <a:extLst>
            <a:ext uri="{FF2B5EF4-FFF2-40B4-BE49-F238E27FC236}">
              <a16:creationId xmlns:a16="http://schemas.microsoft.com/office/drawing/2014/main" id="{00000000-0008-0000-0E00-000062000000}"/>
            </a:ext>
          </a:extLst>
        </xdr:cNvPr>
        <xdr:cNvSpPr>
          <a:spLocks noChangeArrowheads="1"/>
        </xdr:cNvSpPr>
      </xdr:nvSpPr>
      <xdr:spPr bwMode="auto">
        <a:xfrm rot="16200000">
          <a:off x="509012" y="4596848"/>
          <a:ext cx="515979" cy="142095"/>
        </a:xfrm>
        <a:prstGeom prst="rightArrow">
          <a:avLst>
            <a:gd name="adj1" fmla="val 50000"/>
            <a:gd name="adj2" fmla="val 137846"/>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xdr:spPr>
    </xdr:sp>
    <xdr:clientData/>
  </xdr:twoCellAnchor>
  <xdr:twoCellAnchor>
    <xdr:from>
      <xdr:col>0</xdr:col>
      <xdr:colOff>171450</xdr:colOff>
      <xdr:row>8</xdr:row>
      <xdr:rowOff>66676</xdr:rowOff>
    </xdr:from>
    <xdr:to>
      <xdr:col>2</xdr:col>
      <xdr:colOff>323849</xdr:colOff>
      <xdr:row>16</xdr:row>
      <xdr:rowOff>123826</xdr:rowOff>
    </xdr:to>
    <xdr:sp macro="" textlink="">
      <xdr:nvSpPr>
        <xdr:cNvPr id="99" name="Text Box 108">
          <a:extLst>
            <a:ext uri="{FF2B5EF4-FFF2-40B4-BE49-F238E27FC236}">
              <a16:creationId xmlns:a16="http://schemas.microsoft.com/office/drawing/2014/main" id="{00000000-0008-0000-0E00-000063000000}"/>
            </a:ext>
          </a:extLst>
        </xdr:cNvPr>
        <xdr:cNvSpPr txBox="1">
          <a:spLocks noChangeArrowheads="1"/>
        </xdr:cNvSpPr>
      </xdr:nvSpPr>
      <xdr:spPr bwMode="auto">
        <a:xfrm>
          <a:off x="171450" y="1362076"/>
          <a:ext cx="1371599" cy="1352550"/>
        </a:xfrm>
        <a:prstGeom prst="rect">
          <a:avLst/>
        </a:prstGeom>
        <a:solidFill>
          <a:schemeClr val="bg1"/>
        </a:solidFill>
        <a:ln w="9525">
          <a:solidFill>
            <a:sysClr val="windowText" lastClr="000000"/>
          </a:solidFill>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Receiving</a:t>
          </a:r>
        </a:p>
      </xdr:txBody>
    </xdr:sp>
    <xdr:clientData/>
  </xdr:twoCellAnchor>
  <xdr:twoCellAnchor>
    <xdr:from>
      <xdr:col>2</xdr:col>
      <xdr:colOff>77613</xdr:colOff>
      <xdr:row>13</xdr:row>
      <xdr:rowOff>141002</xdr:rowOff>
    </xdr:from>
    <xdr:to>
      <xdr:col>3</xdr:col>
      <xdr:colOff>66843</xdr:colOff>
      <xdr:row>14</xdr:row>
      <xdr:rowOff>117994</xdr:rowOff>
    </xdr:to>
    <xdr:sp macro="" textlink="">
      <xdr:nvSpPr>
        <xdr:cNvPr id="100" name="AutoShape 138">
          <a:extLst>
            <a:ext uri="{FF2B5EF4-FFF2-40B4-BE49-F238E27FC236}">
              <a16:creationId xmlns:a16="http://schemas.microsoft.com/office/drawing/2014/main" id="{00000000-0008-0000-0E00-000064000000}"/>
            </a:ext>
          </a:extLst>
        </xdr:cNvPr>
        <xdr:cNvSpPr>
          <a:spLocks noChangeArrowheads="1"/>
        </xdr:cNvSpPr>
      </xdr:nvSpPr>
      <xdr:spPr bwMode="auto">
        <a:xfrm>
          <a:off x="1296813" y="2246027"/>
          <a:ext cx="598830" cy="138917"/>
        </a:xfrm>
        <a:prstGeom prst="rightArrow">
          <a:avLst>
            <a:gd name="adj1" fmla="val 50000"/>
            <a:gd name="adj2" fmla="val 105711"/>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52626</xdr:colOff>
      <xdr:row>10</xdr:row>
      <xdr:rowOff>150073</xdr:rowOff>
    </xdr:from>
    <xdr:to>
      <xdr:col>3</xdr:col>
      <xdr:colOff>52005</xdr:colOff>
      <xdr:row>11</xdr:row>
      <xdr:rowOff>117142</xdr:rowOff>
    </xdr:to>
    <xdr:sp macro="" textlink="">
      <xdr:nvSpPr>
        <xdr:cNvPr id="101" name="AutoShape 132">
          <a:extLst>
            <a:ext uri="{FF2B5EF4-FFF2-40B4-BE49-F238E27FC236}">
              <a16:creationId xmlns:a16="http://schemas.microsoft.com/office/drawing/2014/main" id="{00000000-0008-0000-0E00-000065000000}"/>
            </a:ext>
          </a:extLst>
        </xdr:cNvPr>
        <xdr:cNvSpPr>
          <a:spLocks noChangeArrowheads="1"/>
        </xdr:cNvSpPr>
      </xdr:nvSpPr>
      <xdr:spPr bwMode="auto">
        <a:xfrm>
          <a:off x="1271826" y="1769323"/>
          <a:ext cx="608979" cy="128994"/>
        </a:xfrm>
        <a:prstGeom prst="rightArrow">
          <a:avLst>
            <a:gd name="adj1" fmla="val 50000"/>
            <a:gd name="adj2" fmla="val 125824"/>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16089</xdr:colOff>
      <xdr:row>24</xdr:row>
      <xdr:rowOff>109755</xdr:rowOff>
    </xdr:from>
    <xdr:to>
      <xdr:col>3</xdr:col>
      <xdr:colOff>15468</xdr:colOff>
      <xdr:row>25</xdr:row>
      <xdr:rowOff>96670</xdr:rowOff>
    </xdr:to>
    <xdr:sp macro="" textlink="">
      <xdr:nvSpPr>
        <xdr:cNvPr id="102" name="AutoShape 154">
          <a:extLst>
            <a:ext uri="{FF2B5EF4-FFF2-40B4-BE49-F238E27FC236}">
              <a16:creationId xmlns:a16="http://schemas.microsoft.com/office/drawing/2014/main" id="{00000000-0008-0000-0E00-000066000000}"/>
            </a:ext>
          </a:extLst>
        </xdr:cNvPr>
        <xdr:cNvSpPr>
          <a:spLocks noChangeArrowheads="1"/>
        </xdr:cNvSpPr>
      </xdr:nvSpPr>
      <xdr:spPr bwMode="auto">
        <a:xfrm rot="10800000">
          <a:off x="1235289" y="3995955"/>
          <a:ext cx="608979" cy="148840"/>
        </a:xfrm>
        <a:prstGeom prst="rightArrow">
          <a:avLst>
            <a:gd name="adj1" fmla="val 50000"/>
            <a:gd name="adj2" fmla="val 100316"/>
          </a:avLst>
        </a:prstGeom>
        <a:solidFill>
          <a:srgbClr xmlns:mc="http://schemas.openxmlformats.org/markup-compatibility/2006" xmlns:a14="http://schemas.microsoft.com/office/drawing/2010/main" val="993366" mc:Ignorable="a14" a14:legacySpreadsheetColorIndex="61">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7</xdr:col>
      <xdr:colOff>76200</xdr:colOff>
      <xdr:row>36</xdr:row>
      <xdr:rowOff>76200</xdr:rowOff>
    </xdr:from>
    <xdr:to>
      <xdr:col>9</xdr:col>
      <xdr:colOff>276225</xdr:colOff>
      <xdr:row>39</xdr:row>
      <xdr:rowOff>47625</xdr:rowOff>
    </xdr:to>
    <xdr:sp macro="" textlink="">
      <xdr:nvSpPr>
        <xdr:cNvPr id="103" name="AutoShape 156">
          <a:extLst>
            <a:ext uri="{FF2B5EF4-FFF2-40B4-BE49-F238E27FC236}">
              <a16:creationId xmlns:a16="http://schemas.microsoft.com/office/drawing/2014/main" id="{00000000-0008-0000-0E00-000067000000}"/>
            </a:ext>
          </a:extLst>
        </xdr:cNvPr>
        <xdr:cNvSpPr>
          <a:spLocks/>
        </xdr:cNvSpPr>
      </xdr:nvSpPr>
      <xdr:spPr bwMode="auto">
        <a:xfrm>
          <a:off x="4343400" y="5905500"/>
          <a:ext cx="1419225" cy="457200"/>
        </a:xfrm>
        <a:prstGeom prst="callout2">
          <a:avLst>
            <a:gd name="adj1" fmla="val 28569"/>
            <a:gd name="adj2" fmla="val 106204"/>
            <a:gd name="adj3" fmla="val 28569"/>
            <a:gd name="adj4" fmla="val 134884"/>
            <a:gd name="adj5" fmla="val -57145"/>
            <a:gd name="adj6" fmla="val 159691"/>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FF" mc:Ignorable="a14" a14:legacySpreadsheetColorIndex="12"/>
          </a:solidFill>
          <a:miter lim="800000"/>
          <a:headEnd/>
          <a:tailEnd type="triangle" w="lg" len="lg"/>
        </a:ln>
      </xdr:spPr>
      <xdr:txBody>
        <a:bodyPr vertOverflow="clip" wrap="square" lIns="36576" tIns="32004" rIns="36576" bIns="0" anchor="t" upright="1"/>
        <a:lstStyle/>
        <a:p>
          <a:pPr algn="ctr" rtl="0">
            <a:defRPr sz="1000"/>
          </a:pPr>
          <a:r>
            <a:rPr lang="en-US" sz="1600" b="1" i="0" u="none" strike="noStrike" baseline="0">
              <a:solidFill>
                <a:srgbClr val="0000FF"/>
              </a:solidFill>
              <a:latin typeface="Arial"/>
              <a:cs typeface="Arial"/>
            </a:rPr>
            <a:t>Dry Room</a:t>
          </a:r>
        </a:p>
      </xdr:txBody>
    </xdr:sp>
    <xdr:clientData/>
  </xdr:twoCellAnchor>
  <xdr:twoCellAnchor>
    <xdr:from>
      <xdr:col>8</xdr:col>
      <xdr:colOff>361950</xdr:colOff>
      <xdr:row>16</xdr:row>
      <xdr:rowOff>57149</xdr:rowOff>
    </xdr:from>
    <xdr:to>
      <xdr:col>11</xdr:col>
      <xdr:colOff>247649</xdr:colOff>
      <xdr:row>29</xdr:row>
      <xdr:rowOff>19049</xdr:rowOff>
    </xdr:to>
    <xdr:sp macro="" textlink="">
      <xdr:nvSpPr>
        <xdr:cNvPr id="86" name="Text Box 140">
          <a:extLst>
            <a:ext uri="{FF2B5EF4-FFF2-40B4-BE49-F238E27FC236}">
              <a16:creationId xmlns:a16="http://schemas.microsoft.com/office/drawing/2014/main" id="{00000000-0008-0000-0E00-000056000000}"/>
            </a:ext>
          </a:extLst>
        </xdr:cNvPr>
        <xdr:cNvSpPr txBox="1">
          <a:spLocks noChangeArrowheads="1"/>
        </xdr:cNvSpPr>
      </xdr:nvSpPr>
      <xdr:spPr bwMode="auto">
        <a:xfrm>
          <a:off x="5238750" y="2647949"/>
          <a:ext cx="1714499" cy="2066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endParaRPr lang="en-US" sz="1400" b="1" i="0" u="none" strike="noStrike" baseline="0">
            <a:solidFill>
              <a:srgbClr val="000000"/>
            </a:solidFill>
            <a:latin typeface="Arial"/>
            <a:cs typeface="Arial"/>
          </a:endParaRPr>
        </a:p>
        <a:p>
          <a:pPr algn="ctr" rtl="0">
            <a:defRPr sz="1000"/>
          </a:pPr>
          <a:endParaRPr lang="en-US" sz="1400" b="1" i="0" u="none" strike="noStrike" baseline="0">
            <a:solidFill>
              <a:srgbClr val="000000"/>
            </a:solidFill>
            <a:latin typeface="Arial"/>
            <a:cs typeface="Arial"/>
          </a:endParaRPr>
        </a:p>
      </xdr:txBody>
    </xdr:sp>
    <xdr:clientData/>
  </xdr:twoCellAnchor>
  <xdr:twoCellAnchor>
    <xdr:from>
      <xdr:col>10</xdr:col>
      <xdr:colOff>247649</xdr:colOff>
      <xdr:row>16</xdr:row>
      <xdr:rowOff>57150</xdr:rowOff>
    </xdr:from>
    <xdr:to>
      <xdr:col>14</xdr:col>
      <xdr:colOff>224282</xdr:colOff>
      <xdr:row>35</xdr:row>
      <xdr:rowOff>0</xdr:rowOff>
    </xdr:to>
    <xdr:sp macro="" textlink="">
      <xdr:nvSpPr>
        <xdr:cNvPr id="87" name="Freeform 148">
          <a:extLst>
            <a:ext uri="{FF2B5EF4-FFF2-40B4-BE49-F238E27FC236}">
              <a16:creationId xmlns:a16="http://schemas.microsoft.com/office/drawing/2014/main" id="{00000000-0008-0000-0E00-000057000000}"/>
            </a:ext>
          </a:extLst>
        </xdr:cNvPr>
        <xdr:cNvSpPr>
          <a:spLocks/>
        </xdr:cNvSpPr>
      </xdr:nvSpPr>
      <xdr:spPr bwMode="auto">
        <a:xfrm>
          <a:off x="6343649" y="2647950"/>
          <a:ext cx="2415033" cy="3019425"/>
        </a:xfrm>
        <a:custGeom>
          <a:avLst/>
          <a:gdLst>
            <a:gd name="T0" fmla="*/ 0 w 535"/>
            <a:gd name="T1" fmla="*/ 2147483646 h 110"/>
            <a:gd name="T2" fmla="*/ 0 w 535"/>
            <a:gd name="T3" fmla="*/ 0 h 110"/>
            <a:gd name="T4" fmla="*/ 0 w 535"/>
            <a:gd name="T5" fmla="*/ 0 h 110"/>
            <a:gd name="T6" fmla="*/ 0 w 535"/>
            <a:gd name="T7" fmla="*/ 2147483646 h 110"/>
            <a:gd name="T8" fmla="*/ 0 w 535"/>
            <a:gd name="T9" fmla="*/ 2147483646 h 11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535" h="110">
              <a:moveTo>
                <a:pt x="535" y="110"/>
              </a:moveTo>
              <a:lnTo>
                <a:pt x="535" y="0"/>
              </a:lnTo>
              <a:lnTo>
                <a:pt x="0" y="0"/>
              </a:lnTo>
              <a:lnTo>
                <a:pt x="0" y="110"/>
              </a:lnTo>
              <a:lnTo>
                <a:pt x="535" y="110"/>
              </a:lnTo>
              <a:close/>
            </a:path>
          </a:pathLst>
        </a:custGeom>
        <a:noFill/>
        <a:ln w="28575" cmpd="sng">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8</xdr:col>
      <xdr:colOff>523875</xdr:colOff>
      <xdr:row>22</xdr:row>
      <xdr:rowOff>152400</xdr:rowOff>
    </xdr:from>
    <xdr:to>
      <xdr:col>11</xdr:col>
      <xdr:colOff>114300</xdr:colOff>
      <xdr:row>26</xdr:row>
      <xdr:rowOff>114300</xdr:rowOff>
    </xdr:to>
    <xdr:sp macro="" textlink="">
      <xdr:nvSpPr>
        <xdr:cNvPr id="88" name="Text Box 157">
          <a:extLst>
            <a:ext uri="{FF2B5EF4-FFF2-40B4-BE49-F238E27FC236}">
              <a16:creationId xmlns:a16="http://schemas.microsoft.com/office/drawing/2014/main" id="{00000000-0008-0000-0E00-000058000000}"/>
            </a:ext>
          </a:extLst>
        </xdr:cNvPr>
        <xdr:cNvSpPr txBox="1">
          <a:spLocks noChangeArrowheads="1"/>
        </xdr:cNvSpPr>
      </xdr:nvSpPr>
      <xdr:spPr bwMode="auto">
        <a:xfrm>
          <a:off x="5400675" y="3714750"/>
          <a:ext cx="1419225" cy="60960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en-US" sz="1400" b="1" i="0" u="none" strike="noStrike" baseline="0">
              <a:solidFill>
                <a:srgbClr val="000000"/>
              </a:solidFill>
              <a:latin typeface="Arial"/>
              <a:cs typeface="Arial"/>
            </a:rPr>
            <a:t>Materials Handling</a:t>
          </a:r>
        </a:p>
      </xdr:txBody>
    </xdr:sp>
    <xdr:clientData/>
  </xdr:twoCellAnchor>
  <xdr:twoCellAnchor>
    <xdr:from>
      <xdr:col>9</xdr:col>
      <xdr:colOff>545121</xdr:colOff>
      <xdr:row>16</xdr:row>
      <xdr:rowOff>53121</xdr:rowOff>
    </xdr:from>
    <xdr:to>
      <xdr:col>10</xdr:col>
      <xdr:colOff>561974</xdr:colOff>
      <xdr:row>21</xdr:row>
      <xdr:rowOff>57150</xdr:rowOff>
    </xdr:to>
    <xdr:sp macro="" textlink="">
      <xdr:nvSpPr>
        <xdr:cNvPr id="92" name="Text Box 141">
          <a:extLst>
            <a:ext uri="{FF2B5EF4-FFF2-40B4-BE49-F238E27FC236}">
              <a16:creationId xmlns:a16="http://schemas.microsoft.com/office/drawing/2014/main" id="{00000000-0008-0000-0E00-00005C000000}"/>
            </a:ext>
          </a:extLst>
        </xdr:cNvPr>
        <xdr:cNvSpPr txBox="1">
          <a:spLocks noChangeArrowheads="1"/>
        </xdr:cNvSpPr>
      </xdr:nvSpPr>
      <xdr:spPr bwMode="auto">
        <a:xfrm>
          <a:off x="6031521" y="2643921"/>
          <a:ext cx="626453" cy="813654"/>
        </a:xfrm>
        <a:prstGeom prst="rect">
          <a:avLst/>
        </a:prstGeom>
        <a:solidFill>
          <a:srgbClr xmlns:mc="http://schemas.openxmlformats.org/markup-compatibility/2006" xmlns:a14="http://schemas.microsoft.com/office/drawing/2010/main" val="FFFFFF" mc:Ignorable="a14" a14:legacySpreadsheetColorIndex="65"/>
        </a:solidFill>
        <a:ln w="2857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FF"/>
              </a:solidFill>
              <a:latin typeface="Arial"/>
              <a:cs typeface="Arial"/>
            </a:rPr>
            <a:t>Air</a:t>
          </a:r>
        </a:p>
        <a:p>
          <a:pPr algn="ctr" rtl="0">
            <a:defRPr sz="1000"/>
          </a:pPr>
          <a:r>
            <a:rPr lang="en-US" sz="1400" b="1" i="0" u="none" strike="noStrike" baseline="0">
              <a:solidFill>
                <a:srgbClr val="0000FF"/>
              </a:solidFill>
              <a:latin typeface="Arial"/>
              <a:cs typeface="Arial"/>
            </a:rPr>
            <a:t> Locks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180975</xdr:colOff>
      <xdr:row>1</xdr:row>
      <xdr:rowOff>0</xdr:rowOff>
    </xdr:from>
    <xdr:to>
      <xdr:col>16</xdr:col>
      <xdr:colOff>571500</xdr:colOff>
      <xdr:row>38</xdr:row>
      <xdr:rowOff>76200</xdr:rowOff>
    </xdr:to>
    <xdr:grpSp>
      <xdr:nvGrpSpPr>
        <xdr:cNvPr id="2" name="Group 1">
          <a:extLst>
            <a:ext uri="{FF2B5EF4-FFF2-40B4-BE49-F238E27FC236}">
              <a16:creationId xmlns:a16="http://schemas.microsoft.com/office/drawing/2014/main" id="{00000000-0008-0000-0F00-000002000000}"/>
            </a:ext>
          </a:extLst>
        </xdr:cNvPr>
        <xdr:cNvGrpSpPr/>
      </xdr:nvGrpSpPr>
      <xdr:grpSpPr>
        <a:xfrm>
          <a:off x="180975" y="165100"/>
          <a:ext cx="11160125" cy="6184900"/>
          <a:chOff x="180975" y="161925"/>
          <a:chExt cx="10144125" cy="6067425"/>
        </a:xfrm>
      </xdr:grpSpPr>
      <xdr:sp macro="" textlink="">
        <xdr:nvSpPr>
          <xdr:cNvPr id="119171" name="Text Box 387">
            <a:extLst>
              <a:ext uri="{FF2B5EF4-FFF2-40B4-BE49-F238E27FC236}">
                <a16:creationId xmlns:a16="http://schemas.microsoft.com/office/drawing/2014/main" id="{00000000-0008-0000-0F00-000083D10100}"/>
              </a:ext>
            </a:extLst>
          </xdr:cNvPr>
          <xdr:cNvSpPr txBox="1">
            <a:spLocks noChangeArrowheads="1"/>
          </xdr:cNvSpPr>
        </xdr:nvSpPr>
        <xdr:spPr bwMode="auto">
          <a:xfrm>
            <a:off x="6391275" y="5514975"/>
            <a:ext cx="2781300" cy="7143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Cell with Stiff, Multi-Layer Container</a:t>
            </a:r>
          </a:p>
        </xdr:txBody>
      </xdr:sp>
      <xdr:sp macro="" textlink="">
        <xdr:nvSpPr>
          <xdr:cNvPr id="119172" name="Text Box 388">
            <a:extLst>
              <a:ext uri="{FF2B5EF4-FFF2-40B4-BE49-F238E27FC236}">
                <a16:creationId xmlns:a16="http://schemas.microsoft.com/office/drawing/2014/main" id="{00000000-0008-0000-0F00-000084D10100}"/>
              </a:ext>
            </a:extLst>
          </xdr:cNvPr>
          <xdr:cNvSpPr txBox="1">
            <a:spLocks noChangeArrowheads="1"/>
          </xdr:cNvSpPr>
        </xdr:nvSpPr>
        <xdr:spPr bwMode="auto">
          <a:xfrm>
            <a:off x="628650" y="4200525"/>
            <a:ext cx="2085975" cy="428625"/>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Terminal Seal</a:t>
            </a:r>
          </a:p>
        </xdr:txBody>
      </xdr:sp>
      <xdr:sp macro="" textlink="">
        <xdr:nvSpPr>
          <xdr:cNvPr id="119173" name="AutoShape 389">
            <a:extLst>
              <a:ext uri="{FF2B5EF4-FFF2-40B4-BE49-F238E27FC236}">
                <a16:creationId xmlns:a16="http://schemas.microsoft.com/office/drawing/2014/main" id="{00000000-0008-0000-0F00-000085D10100}"/>
              </a:ext>
            </a:extLst>
          </xdr:cNvPr>
          <xdr:cNvSpPr>
            <a:spLocks/>
          </xdr:cNvSpPr>
        </xdr:nvSpPr>
        <xdr:spPr bwMode="auto">
          <a:xfrm>
            <a:off x="1895475" y="695325"/>
            <a:ext cx="1600200" cy="809625"/>
          </a:xfrm>
          <a:prstGeom prst="callout2">
            <a:avLst>
              <a:gd name="adj1" fmla="val 14116"/>
              <a:gd name="adj2" fmla="val -4764"/>
              <a:gd name="adj3" fmla="val 14116"/>
              <a:gd name="adj4" fmla="val -27380"/>
              <a:gd name="adj5" fmla="val 72940"/>
              <a:gd name="adj6" fmla="val -41069"/>
            </a:avLst>
          </a:prstGeom>
          <a:solidFill>
            <a:srgbClr val="FFFFFF"/>
          </a:solidFill>
          <a:ln w="12700">
            <a:solidFill>
              <a:srgbClr val="000000"/>
            </a:solidFill>
            <a:miter lim="800000"/>
            <a:headEnd/>
            <a:tailEnd type="triangle" w="lg" len="lg"/>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Polymer Seal of Cell Container to Terminal </a:t>
            </a:r>
          </a:p>
        </xdr:txBody>
      </xdr:sp>
      <xdr:sp macro="" textlink="">
        <xdr:nvSpPr>
          <xdr:cNvPr id="10244" name="Rectangle 390">
            <a:extLst>
              <a:ext uri="{FF2B5EF4-FFF2-40B4-BE49-F238E27FC236}">
                <a16:creationId xmlns:a16="http://schemas.microsoft.com/office/drawing/2014/main" id="{00000000-0008-0000-0F00-000004280000}"/>
              </a:ext>
            </a:extLst>
          </xdr:cNvPr>
          <xdr:cNvSpPr>
            <a:spLocks noChangeArrowheads="1"/>
          </xdr:cNvSpPr>
        </xdr:nvSpPr>
        <xdr:spPr bwMode="auto">
          <a:xfrm>
            <a:off x="1085850" y="2419350"/>
            <a:ext cx="1285875" cy="1352550"/>
          </a:xfrm>
          <a:prstGeom prst="rect">
            <a:avLst/>
          </a:prstGeom>
          <a:solidFill>
            <a:srgbClr val="E3E3E3"/>
          </a:solidFill>
          <a:ln w="9525">
            <a:solidFill>
              <a:srgbClr val="000000"/>
            </a:solidFill>
            <a:miter lim="800000"/>
            <a:headEnd/>
            <a:tailEnd/>
          </a:ln>
        </xdr:spPr>
      </xdr:sp>
      <xdr:sp macro="" textlink="">
        <xdr:nvSpPr>
          <xdr:cNvPr id="10245" name="Line 391">
            <a:extLst>
              <a:ext uri="{FF2B5EF4-FFF2-40B4-BE49-F238E27FC236}">
                <a16:creationId xmlns:a16="http://schemas.microsoft.com/office/drawing/2014/main" id="{00000000-0008-0000-0F00-000005280000}"/>
              </a:ext>
            </a:extLst>
          </xdr:cNvPr>
          <xdr:cNvSpPr>
            <a:spLocks noChangeShapeType="1"/>
          </xdr:cNvSpPr>
        </xdr:nvSpPr>
        <xdr:spPr bwMode="auto">
          <a:xfrm>
            <a:off x="1133475" y="2381250"/>
            <a:ext cx="0" cy="1390650"/>
          </a:xfrm>
          <a:prstGeom prst="line">
            <a:avLst/>
          </a:prstGeom>
          <a:noFill/>
          <a:ln w="9525">
            <a:solidFill>
              <a:srgbClr val="3366FF"/>
            </a:solidFill>
            <a:round/>
            <a:headEnd/>
            <a:tailEnd/>
          </a:ln>
        </xdr:spPr>
      </xdr:sp>
      <xdr:sp macro="" textlink="">
        <xdr:nvSpPr>
          <xdr:cNvPr id="10246" name="Line 392">
            <a:extLst>
              <a:ext uri="{FF2B5EF4-FFF2-40B4-BE49-F238E27FC236}">
                <a16:creationId xmlns:a16="http://schemas.microsoft.com/office/drawing/2014/main" id="{00000000-0008-0000-0F00-000006280000}"/>
              </a:ext>
            </a:extLst>
          </xdr:cNvPr>
          <xdr:cNvSpPr>
            <a:spLocks noChangeShapeType="1"/>
          </xdr:cNvSpPr>
        </xdr:nvSpPr>
        <xdr:spPr bwMode="auto">
          <a:xfrm>
            <a:off x="1200150" y="2381250"/>
            <a:ext cx="0" cy="1390650"/>
          </a:xfrm>
          <a:prstGeom prst="line">
            <a:avLst/>
          </a:prstGeom>
          <a:noFill/>
          <a:ln w="9525">
            <a:solidFill>
              <a:srgbClr val="3366FF"/>
            </a:solidFill>
            <a:round/>
            <a:headEnd/>
            <a:tailEnd/>
          </a:ln>
        </xdr:spPr>
      </xdr:sp>
      <xdr:sp macro="" textlink="">
        <xdr:nvSpPr>
          <xdr:cNvPr id="10247" name="Line 393">
            <a:extLst>
              <a:ext uri="{FF2B5EF4-FFF2-40B4-BE49-F238E27FC236}">
                <a16:creationId xmlns:a16="http://schemas.microsoft.com/office/drawing/2014/main" id="{00000000-0008-0000-0F00-000007280000}"/>
              </a:ext>
            </a:extLst>
          </xdr:cNvPr>
          <xdr:cNvSpPr>
            <a:spLocks noChangeShapeType="1"/>
          </xdr:cNvSpPr>
        </xdr:nvSpPr>
        <xdr:spPr bwMode="auto">
          <a:xfrm>
            <a:off x="1257300" y="2381250"/>
            <a:ext cx="0" cy="1390650"/>
          </a:xfrm>
          <a:prstGeom prst="line">
            <a:avLst/>
          </a:prstGeom>
          <a:noFill/>
          <a:ln w="9525">
            <a:solidFill>
              <a:srgbClr val="3366FF"/>
            </a:solidFill>
            <a:round/>
            <a:headEnd/>
            <a:tailEnd/>
          </a:ln>
        </xdr:spPr>
      </xdr:sp>
      <xdr:sp macro="" textlink="">
        <xdr:nvSpPr>
          <xdr:cNvPr id="10248" name="Line 394">
            <a:extLst>
              <a:ext uri="{FF2B5EF4-FFF2-40B4-BE49-F238E27FC236}">
                <a16:creationId xmlns:a16="http://schemas.microsoft.com/office/drawing/2014/main" id="{00000000-0008-0000-0F00-000008280000}"/>
              </a:ext>
            </a:extLst>
          </xdr:cNvPr>
          <xdr:cNvSpPr>
            <a:spLocks noChangeShapeType="1"/>
          </xdr:cNvSpPr>
        </xdr:nvSpPr>
        <xdr:spPr bwMode="auto">
          <a:xfrm>
            <a:off x="1323975" y="2381250"/>
            <a:ext cx="0" cy="1390650"/>
          </a:xfrm>
          <a:prstGeom prst="line">
            <a:avLst/>
          </a:prstGeom>
          <a:noFill/>
          <a:ln w="9525">
            <a:solidFill>
              <a:srgbClr val="3366FF"/>
            </a:solidFill>
            <a:round/>
            <a:headEnd/>
            <a:tailEnd/>
          </a:ln>
        </xdr:spPr>
      </xdr:sp>
      <xdr:sp macro="" textlink="">
        <xdr:nvSpPr>
          <xdr:cNvPr id="10249" name="Line 395">
            <a:extLst>
              <a:ext uri="{FF2B5EF4-FFF2-40B4-BE49-F238E27FC236}">
                <a16:creationId xmlns:a16="http://schemas.microsoft.com/office/drawing/2014/main" id="{00000000-0008-0000-0F00-000009280000}"/>
              </a:ext>
            </a:extLst>
          </xdr:cNvPr>
          <xdr:cNvSpPr>
            <a:spLocks noChangeShapeType="1"/>
          </xdr:cNvSpPr>
        </xdr:nvSpPr>
        <xdr:spPr bwMode="auto">
          <a:xfrm>
            <a:off x="1390650" y="2381250"/>
            <a:ext cx="0" cy="1390650"/>
          </a:xfrm>
          <a:prstGeom prst="line">
            <a:avLst/>
          </a:prstGeom>
          <a:noFill/>
          <a:ln w="9525">
            <a:solidFill>
              <a:srgbClr val="3366FF"/>
            </a:solidFill>
            <a:round/>
            <a:headEnd/>
            <a:tailEnd/>
          </a:ln>
        </xdr:spPr>
      </xdr:sp>
      <xdr:sp macro="" textlink="">
        <xdr:nvSpPr>
          <xdr:cNvPr id="10250" name="Line 396">
            <a:extLst>
              <a:ext uri="{FF2B5EF4-FFF2-40B4-BE49-F238E27FC236}">
                <a16:creationId xmlns:a16="http://schemas.microsoft.com/office/drawing/2014/main" id="{00000000-0008-0000-0F00-00000A280000}"/>
              </a:ext>
            </a:extLst>
          </xdr:cNvPr>
          <xdr:cNvSpPr>
            <a:spLocks noChangeShapeType="1"/>
          </xdr:cNvSpPr>
        </xdr:nvSpPr>
        <xdr:spPr bwMode="auto">
          <a:xfrm>
            <a:off x="1447800" y="2381250"/>
            <a:ext cx="0" cy="1390650"/>
          </a:xfrm>
          <a:prstGeom prst="line">
            <a:avLst/>
          </a:prstGeom>
          <a:noFill/>
          <a:ln w="9525">
            <a:solidFill>
              <a:srgbClr val="3366FF"/>
            </a:solidFill>
            <a:round/>
            <a:headEnd/>
            <a:tailEnd/>
          </a:ln>
        </xdr:spPr>
      </xdr:sp>
      <xdr:sp macro="" textlink="">
        <xdr:nvSpPr>
          <xdr:cNvPr id="10251" name="Line 397">
            <a:extLst>
              <a:ext uri="{FF2B5EF4-FFF2-40B4-BE49-F238E27FC236}">
                <a16:creationId xmlns:a16="http://schemas.microsoft.com/office/drawing/2014/main" id="{00000000-0008-0000-0F00-00000B280000}"/>
              </a:ext>
            </a:extLst>
          </xdr:cNvPr>
          <xdr:cNvSpPr>
            <a:spLocks noChangeShapeType="1"/>
          </xdr:cNvSpPr>
        </xdr:nvSpPr>
        <xdr:spPr bwMode="auto">
          <a:xfrm>
            <a:off x="1514475" y="2381250"/>
            <a:ext cx="0" cy="1390650"/>
          </a:xfrm>
          <a:prstGeom prst="line">
            <a:avLst/>
          </a:prstGeom>
          <a:noFill/>
          <a:ln w="9525">
            <a:solidFill>
              <a:srgbClr val="3366FF"/>
            </a:solidFill>
            <a:round/>
            <a:headEnd/>
            <a:tailEnd/>
          </a:ln>
        </xdr:spPr>
      </xdr:sp>
      <xdr:sp macro="" textlink="">
        <xdr:nvSpPr>
          <xdr:cNvPr id="10252" name="Line 398">
            <a:extLst>
              <a:ext uri="{FF2B5EF4-FFF2-40B4-BE49-F238E27FC236}">
                <a16:creationId xmlns:a16="http://schemas.microsoft.com/office/drawing/2014/main" id="{00000000-0008-0000-0F00-00000C280000}"/>
              </a:ext>
            </a:extLst>
          </xdr:cNvPr>
          <xdr:cNvSpPr>
            <a:spLocks noChangeShapeType="1"/>
          </xdr:cNvSpPr>
        </xdr:nvSpPr>
        <xdr:spPr bwMode="auto">
          <a:xfrm>
            <a:off x="1571625" y="2381250"/>
            <a:ext cx="0" cy="1390650"/>
          </a:xfrm>
          <a:prstGeom prst="line">
            <a:avLst/>
          </a:prstGeom>
          <a:noFill/>
          <a:ln w="9525">
            <a:solidFill>
              <a:srgbClr val="3366FF"/>
            </a:solidFill>
            <a:round/>
            <a:headEnd/>
            <a:tailEnd/>
          </a:ln>
        </xdr:spPr>
      </xdr:sp>
      <xdr:sp macro="" textlink="">
        <xdr:nvSpPr>
          <xdr:cNvPr id="10253" name="Line 399">
            <a:extLst>
              <a:ext uri="{FF2B5EF4-FFF2-40B4-BE49-F238E27FC236}">
                <a16:creationId xmlns:a16="http://schemas.microsoft.com/office/drawing/2014/main" id="{00000000-0008-0000-0F00-00000D280000}"/>
              </a:ext>
            </a:extLst>
          </xdr:cNvPr>
          <xdr:cNvSpPr>
            <a:spLocks noChangeShapeType="1"/>
          </xdr:cNvSpPr>
        </xdr:nvSpPr>
        <xdr:spPr bwMode="auto">
          <a:xfrm>
            <a:off x="1638300" y="2381250"/>
            <a:ext cx="0" cy="1390650"/>
          </a:xfrm>
          <a:prstGeom prst="line">
            <a:avLst/>
          </a:prstGeom>
          <a:noFill/>
          <a:ln w="9525">
            <a:solidFill>
              <a:srgbClr val="3366FF"/>
            </a:solidFill>
            <a:round/>
            <a:headEnd/>
            <a:tailEnd/>
          </a:ln>
        </xdr:spPr>
      </xdr:sp>
      <xdr:sp macro="" textlink="">
        <xdr:nvSpPr>
          <xdr:cNvPr id="10254" name="Line 400">
            <a:extLst>
              <a:ext uri="{FF2B5EF4-FFF2-40B4-BE49-F238E27FC236}">
                <a16:creationId xmlns:a16="http://schemas.microsoft.com/office/drawing/2014/main" id="{00000000-0008-0000-0F00-00000E280000}"/>
              </a:ext>
            </a:extLst>
          </xdr:cNvPr>
          <xdr:cNvSpPr>
            <a:spLocks noChangeShapeType="1"/>
          </xdr:cNvSpPr>
        </xdr:nvSpPr>
        <xdr:spPr bwMode="auto">
          <a:xfrm>
            <a:off x="1695450" y="2381250"/>
            <a:ext cx="0" cy="1390650"/>
          </a:xfrm>
          <a:prstGeom prst="line">
            <a:avLst/>
          </a:prstGeom>
          <a:noFill/>
          <a:ln w="9525">
            <a:solidFill>
              <a:srgbClr val="3366FF"/>
            </a:solidFill>
            <a:round/>
            <a:headEnd/>
            <a:tailEnd/>
          </a:ln>
        </xdr:spPr>
      </xdr:sp>
      <xdr:sp macro="" textlink="">
        <xdr:nvSpPr>
          <xdr:cNvPr id="10255" name="Line 401">
            <a:extLst>
              <a:ext uri="{FF2B5EF4-FFF2-40B4-BE49-F238E27FC236}">
                <a16:creationId xmlns:a16="http://schemas.microsoft.com/office/drawing/2014/main" id="{00000000-0008-0000-0F00-00000F280000}"/>
              </a:ext>
            </a:extLst>
          </xdr:cNvPr>
          <xdr:cNvSpPr>
            <a:spLocks noChangeShapeType="1"/>
          </xdr:cNvSpPr>
        </xdr:nvSpPr>
        <xdr:spPr bwMode="auto">
          <a:xfrm flipH="1">
            <a:off x="2314575" y="2381250"/>
            <a:ext cx="0" cy="1390650"/>
          </a:xfrm>
          <a:prstGeom prst="line">
            <a:avLst/>
          </a:prstGeom>
          <a:noFill/>
          <a:ln w="9525">
            <a:solidFill>
              <a:srgbClr val="3366FF"/>
            </a:solidFill>
            <a:round/>
            <a:headEnd/>
            <a:tailEnd/>
          </a:ln>
        </xdr:spPr>
      </xdr:sp>
      <xdr:sp macro="" textlink="">
        <xdr:nvSpPr>
          <xdr:cNvPr id="10256" name="Line 402">
            <a:extLst>
              <a:ext uri="{FF2B5EF4-FFF2-40B4-BE49-F238E27FC236}">
                <a16:creationId xmlns:a16="http://schemas.microsoft.com/office/drawing/2014/main" id="{00000000-0008-0000-0F00-000010280000}"/>
              </a:ext>
            </a:extLst>
          </xdr:cNvPr>
          <xdr:cNvSpPr>
            <a:spLocks noChangeShapeType="1"/>
          </xdr:cNvSpPr>
        </xdr:nvSpPr>
        <xdr:spPr bwMode="auto">
          <a:xfrm flipH="1">
            <a:off x="2247900" y="2381250"/>
            <a:ext cx="0" cy="1390650"/>
          </a:xfrm>
          <a:prstGeom prst="line">
            <a:avLst/>
          </a:prstGeom>
          <a:noFill/>
          <a:ln w="9525">
            <a:solidFill>
              <a:srgbClr val="3366FF"/>
            </a:solidFill>
            <a:round/>
            <a:headEnd/>
            <a:tailEnd/>
          </a:ln>
        </xdr:spPr>
      </xdr:sp>
      <xdr:sp macro="" textlink="">
        <xdr:nvSpPr>
          <xdr:cNvPr id="10257" name="Line 403">
            <a:extLst>
              <a:ext uri="{FF2B5EF4-FFF2-40B4-BE49-F238E27FC236}">
                <a16:creationId xmlns:a16="http://schemas.microsoft.com/office/drawing/2014/main" id="{00000000-0008-0000-0F00-000011280000}"/>
              </a:ext>
            </a:extLst>
          </xdr:cNvPr>
          <xdr:cNvSpPr>
            <a:spLocks noChangeShapeType="1"/>
          </xdr:cNvSpPr>
        </xdr:nvSpPr>
        <xdr:spPr bwMode="auto">
          <a:xfrm flipH="1">
            <a:off x="2190750" y="2381250"/>
            <a:ext cx="0" cy="1390650"/>
          </a:xfrm>
          <a:prstGeom prst="line">
            <a:avLst/>
          </a:prstGeom>
          <a:noFill/>
          <a:ln w="9525">
            <a:solidFill>
              <a:srgbClr val="3366FF"/>
            </a:solidFill>
            <a:round/>
            <a:headEnd/>
            <a:tailEnd/>
          </a:ln>
        </xdr:spPr>
      </xdr:sp>
      <xdr:sp macro="" textlink="">
        <xdr:nvSpPr>
          <xdr:cNvPr id="10258" name="Line 404">
            <a:extLst>
              <a:ext uri="{FF2B5EF4-FFF2-40B4-BE49-F238E27FC236}">
                <a16:creationId xmlns:a16="http://schemas.microsoft.com/office/drawing/2014/main" id="{00000000-0008-0000-0F00-000012280000}"/>
              </a:ext>
            </a:extLst>
          </xdr:cNvPr>
          <xdr:cNvSpPr>
            <a:spLocks noChangeShapeType="1"/>
          </xdr:cNvSpPr>
        </xdr:nvSpPr>
        <xdr:spPr bwMode="auto">
          <a:xfrm flipH="1">
            <a:off x="2124075" y="2381250"/>
            <a:ext cx="0" cy="1390650"/>
          </a:xfrm>
          <a:prstGeom prst="line">
            <a:avLst/>
          </a:prstGeom>
          <a:noFill/>
          <a:ln w="9525">
            <a:solidFill>
              <a:srgbClr val="3366FF"/>
            </a:solidFill>
            <a:round/>
            <a:headEnd/>
            <a:tailEnd/>
          </a:ln>
        </xdr:spPr>
      </xdr:sp>
      <xdr:sp macro="" textlink="">
        <xdr:nvSpPr>
          <xdr:cNvPr id="10259" name="Line 405">
            <a:extLst>
              <a:ext uri="{FF2B5EF4-FFF2-40B4-BE49-F238E27FC236}">
                <a16:creationId xmlns:a16="http://schemas.microsoft.com/office/drawing/2014/main" id="{00000000-0008-0000-0F00-000013280000}"/>
              </a:ext>
            </a:extLst>
          </xdr:cNvPr>
          <xdr:cNvSpPr>
            <a:spLocks noChangeShapeType="1"/>
          </xdr:cNvSpPr>
        </xdr:nvSpPr>
        <xdr:spPr bwMode="auto">
          <a:xfrm flipH="1">
            <a:off x="2057400" y="2381250"/>
            <a:ext cx="0" cy="1390650"/>
          </a:xfrm>
          <a:prstGeom prst="line">
            <a:avLst/>
          </a:prstGeom>
          <a:noFill/>
          <a:ln w="9525">
            <a:solidFill>
              <a:srgbClr val="3366FF"/>
            </a:solidFill>
            <a:round/>
            <a:headEnd/>
            <a:tailEnd/>
          </a:ln>
        </xdr:spPr>
      </xdr:sp>
      <xdr:sp macro="" textlink="">
        <xdr:nvSpPr>
          <xdr:cNvPr id="10260" name="Line 406">
            <a:extLst>
              <a:ext uri="{FF2B5EF4-FFF2-40B4-BE49-F238E27FC236}">
                <a16:creationId xmlns:a16="http://schemas.microsoft.com/office/drawing/2014/main" id="{00000000-0008-0000-0F00-000014280000}"/>
              </a:ext>
            </a:extLst>
          </xdr:cNvPr>
          <xdr:cNvSpPr>
            <a:spLocks noChangeShapeType="1"/>
          </xdr:cNvSpPr>
        </xdr:nvSpPr>
        <xdr:spPr bwMode="auto">
          <a:xfrm flipH="1">
            <a:off x="2000250" y="2381250"/>
            <a:ext cx="0" cy="1390650"/>
          </a:xfrm>
          <a:prstGeom prst="line">
            <a:avLst/>
          </a:prstGeom>
          <a:noFill/>
          <a:ln w="9525">
            <a:solidFill>
              <a:srgbClr val="3366FF"/>
            </a:solidFill>
            <a:round/>
            <a:headEnd/>
            <a:tailEnd/>
          </a:ln>
        </xdr:spPr>
      </xdr:sp>
      <xdr:sp macro="" textlink="">
        <xdr:nvSpPr>
          <xdr:cNvPr id="10261" name="Line 407">
            <a:extLst>
              <a:ext uri="{FF2B5EF4-FFF2-40B4-BE49-F238E27FC236}">
                <a16:creationId xmlns:a16="http://schemas.microsoft.com/office/drawing/2014/main" id="{00000000-0008-0000-0F00-000015280000}"/>
              </a:ext>
            </a:extLst>
          </xdr:cNvPr>
          <xdr:cNvSpPr>
            <a:spLocks noChangeShapeType="1"/>
          </xdr:cNvSpPr>
        </xdr:nvSpPr>
        <xdr:spPr bwMode="auto">
          <a:xfrm flipH="1">
            <a:off x="1933575" y="2381250"/>
            <a:ext cx="0" cy="1390650"/>
          </a:xfrm>
          <a:prstGeom prst="line">
            <a:avLst/>
          </a:prstGeom>
          <a:noFill/>
          <a:ln w="9525">
            <a:solidFill>
              <a:srgbClr val="3366FF"/>
            </a:solidFill>
            <a:round/>
            <a:headEnd/>
            <a:tailEnd/>
          </a:ln>
        </xdr:spPr>
      </xdr:sp>
      <xdr:sp macro="" textlink="">
        <xdr:nvSpPr>
          <xdr:cNvPr id="10262" name="Line 408">
            <a:extLst>
              <a:ext uri="{FF2B5EF4-FFF2-40B4-BE49-F238E27FC236}">
                <a16:creationId xmlns:a16="http://schemas.microsoft.com/office/drawing/2014/main" id="{00000000-0008-0000-0F00-000016280000}"/>
              </a:ext>
            </a:extLst>
          </xdr:cNvPr>
          <xdr:cNvSpPr>
            <a:spLocks noChangeShapeType="1"/>
          </xdr:cNvSpPr>
        </xdr:nvSpPr>
        <xdr:spPr bwMode="auto">
          <a:xfrm flipH="1">
            <a:off x="1876425" y="2381250"/>
            <a:ext cx="0" cy="1390650"/>
          </a:xfrm>
          <a:prstGeom prst="line">
            <a:avLst/>
          </a:prstGeom>
          <a:noFill/>
          <a:ln w="9525">
            <a:solidFill>
              <a:srgbClr val="3366FF"/>
            </a:solidFill>
            <a:round/>
            <a:headEnd/>
            <a:tailEnd/>
          </a:ln>
        </xdr:spPr>
      </xdr:sp>
      <xdr:sp macro="" textlink="">
        <xdr:nvSpPr>
          <xdr:cNvPr id="10263" name="Line 409">
            <a:extLst>
              <a:ext uri="{FF2B5EF4-FFF2-40B4-BE49-F238E27FC236}">
                <a16:creationId xmlns:a16="http://schemas.microsoft.com/office/drawing/2014/main" id="{00000000-0008-0000-0F00-000017280000}"/>
              </a:ext>
            </a:extLst>
          </xdr:cNvPr>
          <xdr:cNvSpPr>
            <a:spLocks noChangeShapeType="1"/>
          </xdr:cNvSpPr>
        </xdr:nvSpPr>
        <xdr:spPr bwMode="auto">
          <a:xfrm flipH="1">
            <a:off x="1809750" y="2381250"/>
            <a:ext cx="0" cy="1390650"/>
          </a:xfrm>
          <a:prstGeom prst="line">
            <a:avLst/>
          </a:prstGeom>
          <a:noFill/>
          <a:ln w="9525">
            <a:solidFill>
              <a:srgbClr val="3366FF"/>
            </a:solidFill>
            <a:round/>
            <a:headEnd/>
            <a:tailEnd/>
          </a:ln>
        </xdr:spPr>
      </xdr:sp>
      <xdr:sp macro="" textlink="">
        <xdr:nvSpPr>
          <xdr:cNvPr id="10264" name="Line 410">
            <a:extLst>
              <a:ext uri="{FF2B5EF4-FFF2-40B4-BE49-F238E27FC236}">
                <a16:creationId xmlns:a16="http://schemas.microsoft.com/office/drawing/2014/main" id="{00000000-0008-0000-0F00-000018280000}"/>
              </a:ext>
            </a:extLst>
          </xdr:cNvPr>
          <xdr:cNvSpPr>
            <a:spLocks noChangeShapeType="1"/>
          </xdr:cNvSpPr>
        </xdr:nvSpPr>
        <xdr:spPr bwMode="auto">
          <a:xfrm flipH="1">
            <a:off x="1752600" y="2381250"/>
            <a:ext cx="0" cy="1390650"/>
          </a:xfrm>
          <a:prstGeom prst="line">
            <a:avLst/>
          </a:prstGeom>
          <a:noFill/>
          <a:ln w="9525">
            <a:solidFill>
              <a:srgbClr val="3366FF"/>
            </a:solidFill>
            <a:round/>
            <a:headEnd/>
            <a:tailEnd/>
          </a:ln>
        </xdr:spPr>
      </xdr:sp>
      <xdr:sp macro="" textlink="">
        <xdr:nvSpPr>
          <xdr:cNvPr id="119195" name="AutoShape 411">
            <a:extLst>
              <a:ext uri="{FF2B5EF4-FFF2-40B4-BE49-F238E27FC236}">
                <a16:creationId xmlns:a16="http://schemas.microsoft.com/office/drawing/2014/main" id="{00000000-0008-0000-0F00-00009BD10100}"/>
              </a:ext>
            </a:extLst>
          </xdr:cNvPr>
          <xdr:cNvSpPr>
            <a:spLocks/>
          </xdr:cNvSpPr>
        </xdr:nvSpPr>
        <xdr:spPr bwMode="auto">
          <a:xfrm>
            <a:off x="2514600" y="1619250"/>
            <a:ext cx="1733550" cy="847725"/>
          </a:xfrm>
          <a:prstGeom prst="callout2">
            <a:avLst>
              <a:gd name="adj1" fmla="val 13481"/>
              <a:gd name="adj2" fmla="val -4394"/>
              <a:gd name="adj3" fmla="val 13481"/>
              <a:gd name="adj4" fmla="val -22528"/>
              <a:gd name="adj5" fmla="val 56181"/>
              <a:gd name="adj6" fmla="val -49449"/>
            </a:avLst>
          </a:prstGeom>
          <a:solidFill>
            <a:srgbClr val="FFFFFF"/>
          </a:solidFill>
          <a:ln w="9525">
            <a:solidFill>
              <a:srgbClr val="000000"/>
            </a:solidFill>
            <a:miter lim="800000"/>
            <a:headEnd/>
            <a:tailEnd type="triangle" w="lg" len="lg"/>
          </a:ln>
        </xdr:spPr>
        <xdr:txBody>
          <a:bodyPr vertOverflow="clip" wrap="square" lIns="36576" tIns="32004" rIns="0" bIns="0" anchor="t" upright="1"/>
          <a:lstStyle/>
          <a:p>
            <a:pPr algn="l" rtl="0">
              <a:defRPr sz="1000"/>
            </a:pPr>
            <a:r>
              <a:rPr lang="en-US" sz="1600" b="1" i="0" u="none" strike="noStrike" baseline="0">
                <a:solidFill>
                  <a:srgbClr val="000000"/>
                </a:solidFill>
                <a:latin typeface="Arial"/>
                <a:cs typeface="Arial"/>
              </a:rPr>
              <a:t>Ultrasonic Welds</a:t>
            </a:r>
          </a:p>
          <a:p>
            <a:pPr algn="l" rtl="0">
              <a:defRPr sz="1000"/>
            </a:pPr>
            <a:r>
              <a:rPr lang="en-US" sz="1600" b="1" i="0" u="none" strike="noStrike" baseline="0">
                <a:solidFill>
                  <a:srgbClr val="000000"/>
                </a:solidFill>
                <a:latin typeface="Arial"/>
                <a:cs typeface="Arial"/>
              </a:rPr>
              <a:t>of Terminal to Collector Foils</a:t>
            </a:r>
          </a:p>
        </xdr:txBody>
      </xdr:sp>
      <xdr:sp macro="" textlink="">
        <xdr:nvSpPr>
          <xdr:cNvPr id="10266" name="Freeform 412">
            <a:extLst>
              <a:ext uri="{FF2B5EF4-FFF2-40B4-BE49-F238E27FC236}">
                <a16:creationId xmlns:a16="http://schemas.microsoft.com/office/drawing/2014/main" id="{00000000-0008-0000-0F00-00001A280000}"/>
              </a:ext>
            </a:extLst>
          </xdr:cNvPr>
          <xdr:cNvSpPr>
            <a:spLocks/>
          </xdr:cNvSpPr>
        </xdr:nvSpPr>
        <xdr:spPr bwMode="auto">
          <a:xfrm>
            <a:off x="1209675" y="1114425"/>
            <a:ext cx="1181100" cy="2543175"/>
          </a:xfrm>
          <a:custGeom>
            <a:avLst/>
            <a:gdLst>
              <a:gd name="T0" fmla="*/ 2147483647 w 124"/>
              <a:gd name="T1" fmla="*/ 2147483647 h 267"/>
              <a:gd name="T2" fmla="*/ 2147483647 w 124"/>
              <a:gd name="T3" fmla="*/ 2147483647 h 267"/>
              <a:gd name="T4" fmla="*/ 2147483647 w 124"/>
              <a:gd name="T5" fmla="*/ 2147483647 h 267"/>
              <a:gd name="T6" fmla="*/ 2147483647 w 124"/>
              <a:gd name="T7" fmla="*/ 2147483647 h 267"/>
              <a:gd name="T8" fmla="*/ 2147483647 w 124"/>
              <a:gd name="T9" fmla="*/ 2147483647 h 267"/>
              <a:gd name="T10" fmla="*/ 2147483647 w 124"/>
              <a:gd name="T11" fmla="*/ 2147483647 h 267"/>
              <a:gd name="T12" fmla="*/ 2147483647 w 124"/>
              <a:gd name="T13" fmla="*/ 2147483647 h 267"/>
              <a:gd name="T14" fmla="*/ 2147483647 w 124"/>
              <a:gd name="T15" fmla="*/ 2147483647 h 267"/>
              <a:gd name="T16" fmla="*/ 2147483647 w 124"/>
              <a:gd name="T17" fmla="*/ 2147483647 h 267"/>
              <a:gd name="T18" fmla="*/ 2147483647 w 124"/>
              <a:gd name="T19" fmla="*/ 2147483647 h 267"/>
              <a:gd name="T20" fmla="*/ 2147483647 w 124"/>
              <a:gd name="T21" fmla="*/ 2147483647 h 267"/>
              <a:gd name="T22" fmla="*/ 2147483647 w 124"/>
              <a:gd name="T23" fmla="*/ 2147483647 h 267"/>
              <a:gd name="T24" fmla="*/ 2147483647 w 124"/>
              <a:gd name="T25" fmla="*/ 2147483647 h 267"/>
              <a:gd name="T26" fmla="*/ 2147483647 w 124"/>
              <a:gd name="T27" fmla="*/ 2147483647 h 267"/>
              <a:gd name="T28" fmla="*/ 2147483647 w 124"/>
              <a:gd name="T29" fmla="*/ 2147483647 h 267"/>
              <a:gd name="T30" fmla="*/ 2147483647 w 124"/>
              <a:gd name="T31" fmla="*/ 2147483647 h 267"/>
              <a:gd name="T32" fmla="*/ 2147483647 w 124"/>
              <a:gd name="T33" fmla="*/ 2147483647 h 267"/>
              <a:gd name="T34" fmla="*/ 2147483647 w 124"/>
              <a:gd name="T35" fmla="*/ 2147483647 h 267"/>
              <a:gd name="T36" fmla="*/ 0 w 124"/>
              <a:gd name="T37" fmla="*/ 0 h 267"/>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24"/>
              <a:gd name="T58" fmla="*/ 0 h 267"/>
              <a:gd name="T59" fmla="*/ 124 w 124"/>
              <a:gd name="T60" fmla="*/ 267 h 267"/>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24" h="267">
                <a:moveTo>
                  <a:pt x="123" y="267"/>
                </a:moveTo>
                <a:cubicBezTo>
                  <a:pt x="123" y="251"/>
                  <a:pt x="123" y="190"/>
                  <a:pt x="123" y="172"/>
                </a:cubicBezTo>
                <a:cubicBezTo>
                  <a:pt x="123" y="154"/>
                  <a:pt x="123" y="162"/>
                  <a:pt x="123" y="158"/>
                </a:cubicBezTo>
                <a:cubicBezTo>
                  <a:pt x="123" y="154"/>
                  <a:pt x="123" y="152"/>
                  <a:pt x="123" y="150"/>
                </a:cubicBezTo>
                <a:cubicBezTo>
                  <a:pt x="123" y="148"/>
                  <a:pt x="124" y="146"/>
                  <a:pt x="124" y="144"/>
                </a:cubicBezTo>
                <a:cubicBezTo>
                  <a:pt x="124" y="142"/>
                  <a:pt x="124" y="138"/>
                  <a:pt x="124" y="135"/>
                </a:cubicBezTo>
                <a:cubicBezTo>
                  <a:pt x="124" y="132"/>
                  <a:pt x="124" y="129"/>
                  <a:pt x="123" y="126"/>
                </a:cubicBezTo>
                <a:cubicBezTo>
                  <a:pt x="122" y="123"/>
                  <a:pt x="124" y="119"/>
                  <a:pt x="120" y="116"/>
                </a:cubicBezTo>
                <a:cubicBezTo>
                  <a:pt x="116" y="113"/>
                  <a:pt x="105" y="111"/>
                  <a:pt x="99" y="109"/>
                </a:cubicBezTo>
                <a:cubicBezTo>
                  <a:pt x="93" y="107"/>
                  <a:pt x="89" y="106"/>
                  <a:pt x="83" y="104"/>
                </a:cubicBezTo>
                <a:cubicBezTo>
                  <a:pt x="77" y="102"/>
                  <a:pt x="71" y="101"/>
                  <a:pt x="64" y="99"/>
                </a:cubicBezTo>
                <a:cubicBezTo>
                  <a:pt x="57" y="97"/>
                  <a:pt x="49" y="95"/>
                  <a:pt x="43" y="93"/>
                </a:cubicBezTo>
                <a:cubicBezTo>
                  <a:pt x="37" y="91"/>
                  <a:pt x="31" y="90"/>
                  <a:pt x="26" y="89"/>
                </a:cubicBezTo>
                <a:cubicBezTo>
                  <a:pt x="21" y="88"/>
                  <a:pt x="17" y="89"/>
                  <a:pt x="13" y="88"/>
                </a:cubicBezTo>
                <a:cubicBezTo>
                  <a:pt x="9" y="87"/>
                  <a:pt x="6" y="86"/>
                  <a:pt x="4" y="84"/>
                </a:cubicBezTo>
                <a:cubicBezTo>
                  <a:pt x="2" y="82"/>
                  <a:pt x="3" y="78"/>
                  <a:pt x="2" y="76"/>
                </a:cubicBezTo>
                <a:cubicBezTo>
                  <a:pt x="1" y="74"/>
                  <a:pt x="1" y="72"/>
                  <a:pt x="1" y="70"/>
                </a:cubicBezTo>
                <a:cubicBezTo>
                  <a:pt x="1" y="68"/>
                  <a:pt x="1" y="75"/>
                  <a:pt x="1" y="63"/>
                </a:cubicBezTo>
                <a:cubicBezTo>
                  <a:pt x="1" y="51"/>
                  <a:pt x="0" y="13"/>
                  <a:pt x="0" y="0"/>
                </a:cubicBezTo>
              </a:path>
            </a:pathLst>
          </a:custGeom>
          <a:noFill/>
          <a:ln w="28575" cmpd="sng">
            <a:solidFill>
              <a:srgbClr val="000000"/>
            </a:solidFill>
            <a:round/>
            <a:headEnd/>
            <a:tailEnd/>
          </a:ln>
        </xdr:spPr>
      </xdr:sp>
      <xdr:sp macro="" textlink="">
        <xdr:nvSpPr>
          <xdr:cNvPr id="10267" name="Freeform 413">
            <a:extLst>
              <a:ext uri="{FF2B5EF4-FFF2-40B4-BE49-F238E27FC236}">
                <a16:creationId xmlns:a16="http://schemas.microsoft.com/office/drawing/2014/main" id="{00000000-0008-0000-0F00-00001B280000}"/>
              </a:ext>
            </a:extLst>
          </xdr:cNvPr>
          <xdr:cNvSpPr>
            <a:spLocks/>
          </xdr:cNvSpPr>
        </xdr:nvSpPr>
        <xdr:spPr bwMode="auto">
          <a:xfrm>
            <a:off x="1066800" y="1114425"/>
            <a:ext cx="38100" cy="2552700"/>
          </a:xfrm>
          <a:custGeom>
            <a:avLst/>
            <a:gdLst>
              <a:gd name="T0" fmla="*/ 0 w 4"/>
              <a:gd name="T1" fmla="*/ 2147483647 h 268"/>
              <a:gd name="T2" fmla="*/ 0 w 4"/>
              <a:gd name="T3" fmla="*/ 2147483647 h 268"/>
              <a:gd name="T4" fmla="*/ 2147483647 w 4"/>
              <a:gd name="T5" fmla="*/ 2147483647 h 268"/>
              <a:gd name="T6" fmla="*/ 2147483647 w 4"/>
              <a:gd name="T7" fmla="*/ 0 h 268"/>
              <a:gd name="T8" fmla="*/ 0 60000 65536"/>
              <a:gd name="T9" fmla="*/ 0 60000 65536"/>
              <a:gd name="T10" fmla="*/ 0 60000 65536"/>
              <a:gd name="T11" fmla="*/ 0 60000 65536"/>
              <a:gd name="T12" fmla="*/ 0 w 4"/>
              <a:gd name="T13" fmla="*/ 0 h 268"/>
              <a:gd name="T14" fmla="*/ 4 w 4"/>
              <a:gd name="T15" fmla="*/ 268 h 268"/>
            </a:gdLst>
            <a:ahLst/>
            <a:cxnLst>
              <a:cxn ang="T8">
                <a:pos x="T0" y="T1"/>
              </a:cxn>
              <a:cxn ang="T9">
                <a:pos x="T2" y="T3"/>
              </a:cxn>
              <a:cxn ang="T10">
                <a:pos x="T4" y="T5"/>
              </a:cxn>
              <a:cxn ang="T11">
                <a:pos x="T6" y="T7"/>
              </a:cxn>
            </a:cxnLst>
            <a:rect l="T12" t="T13" r="T14" b="T15"/>
            <a:pathLst>
              <a:path w="4" h="268">
                <a:moveTo>
                  <a:pt x="0" y="268"/>
                </a:moveTo>
                <a:lnTo>
                  <a:pt x="0" y="77"/>
                </a:lnTo>
                <a:lnTo>
                  <a:pt x="4" y="70"/>
                </a:lnTo>
                <a:lnTo>
                  <a:pt x="4" y="0"/>
                </a:lnTo>
              </a:path>
            </a:pathLst>
          </a:custGeom>
          <a:noFill/>
          <a:ln w="28575" cmpd="sng">
            <a:solidFill>
              <a:srgbClr val="000000"/>
            </a:solidFill>
            <a:round/>
            <a:headEnd/>
            <a:tailEnd/>
          </a:ln>
        </xdr:spPr>
      </xdr:sp>
      <xdr:sp macro="" textlink="">
        <xdr:nvSpPr>
          <xdr:cNvPr id="10268" name="Freeform 414">
            <a:extLst>
              <a:ext uri="{FF2B5EF4-FFF2-40B4-BE49-F238E27FC236}">
                <a16:creationId xmlns:a16="http://schemas.microsoft.com/office/drawing/2014/main" id="{00000000-0008-0000-0F00-00001C280000}"/>
              </a:ext>
            </a:extLst>
          </xdr:cNvPr>
          <xdr:cNvSpPr>
            <a:spLocks/>
          </xdr:cNvSpPr>
        </xdr:nvSpPr>
        <xdr:spPr bwMode="auto">
          <a:xfrm>
            <a:off x="1362075" y="2047875"/>
            <a:ext cx="952500" cy="342900"/>
          </a:xfrm>
          <a:custGeom>
            <a:avLst/>
            <a:gdLst>
              <a:gd name="T0" fmla="*/ 2147483647 w 100"/>
              <a:gd name="T1" fmla="*/ 2147483647 h 36"/>
              <a:gd name="T2" fmla="*/ 2147483647 w 100"/>
              <a:gd name="T3" fmla="*/ 2147483647 h 36"/>
              <a:gd name="T4" fmla="*/ 2147483647 w 100"/>
              <a:gd name="T5" fmla="*/ 2147483647 h 36"/>
              <a:gd name="T6" fmla="*/ 2147483647 w 100"/>
              <a:gd name="T7" fmla="*/ 2147483647 h 36"/>
              <a:gd name="T8" fmla="*/ 2147483647 w 100"/>
              <a:gd name="T9" fmla="*/ 2147483647 h 36"/>
              <a:gd name="T10" fmla="*/ 2147483647 w 100"/>
              <a:gd name="T11" fmla="*/ 2147483647 h 36"/>
              <a:gd name="T12" fmla="*/ 0 w 100"/>
              <a:gd name="T13" fmla="*/ 0 h 36"/>
              <a:gd name="T14" fmla="*/ 0 60000 65536"/>
              <a:gd name="T15" fmla="*/ 0 60000 65536"/>
              <a:gd name="T16" fmla="*/ 0 60000 65536"/>
              <a:gd name="T17" fmla="*/ 0 60000 65536"/>
              <a:gd name="T18" fmla="*/ 0 60000 65536"/>
              <a:gd name="T19" fmla="*/ 0 60000 65536"/>
              <a:gd name="T20" fmla="*/ 0 60000 65536"/>
              <a:gd name="T21" fmla="*/ 0 w 100"/>
              <a:gd name="T22" fmla="*/ 0 h 36"/>
              <a:gd name="T23" fmla="*/ 100 w 100"/>
              <a:gd name="T24" fmla="*/ 36 h 3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00" h="36">
                <a:moveTo>
                  <a:pt x="100" y="36"/>
                </a:moveTo>
                <a:lnTo>
                  <a:pt x="39" y="36"/>
                </a:lnTo>
                <a:lnTo>
                  <a:pt x="39" y="31"/>
                </a:lnTo>
                <a:lnTo>
                  <a:pt x="97" y="32"/>
                </a:lnTo>
                <a:lnTo>
                  <a:pt x="99" y="20"/>
                </a:lnTo>
                <a:lnTo>
                  <a:pt x="21" y="3"/>
                </a:lnTo>
                <a:lnTo>
                  <a:pt x="0" y="0"/>
                </a:lnTo>
              </a:path>
            </a:pathLst>
          </a:custGeom>
          <a:noFill/>
          <a:ln w="38100" cmpd="sng">
            <a:solidFill>
              <a:srgbClr val="3366FF"/>
            </a:solidFill>
            <a:round/>
            <a:headEnd/>
            <a:tailEnd/>
          </a:ln>
        </xdr:spPr>
      </xdr:sp>
      <xdr:sp macro="" textlink="">
        <xdr:nvSpPr>
          <xdr:cNvPr id="10269" name="Freeform 415">
            <a:extLst>
              <a:ext uri="{FF2B5EF4-FFF2-40B4-BE49-F238E27FC236}">
                <a16:creationId xmlns:a16="http://schemas.microsoft.com/office/drawing/2014/main" id="{00000000-0008-0000-0F00-00001D280000}"/>
              </a:ext>
            </a:extLst>
          </xdr:cNvPr>
          <xdr:cNvSpPr>
            <a:spLocks/>
          </xdr:cNvSpPr>
        </xdr:nvSpPr>
        <xdr:spPr bwMode="auto">
          <a:xfrm>
            <a:off x="1257300" y="2162175"/>
            <a:ext cx="857250" cy="200025"/>
          </a:xfrm>
          <a:custGeom>
            <a:avLst/>
            <a:gdLst>
              <a:gd name="T0" fmla="*/ 0 w 90"/>
              <a:gd name="T1" fmla="*/ 2147483647 h 21"/>
              <a:gd name="T2" fmla="*/ 2147483647 w 90"/>
              <a:gd name="T3" fmla="*/ 2147483647 h 21"/>
              <a:gd name="T4" fmla="*/ 2147483647 w 90"/>
              <a:gd name="T5" fmla="*/ 2147483647 h 21"/>
              <a:gd name="T6" fmla="*/ 2147483647 w 90"/>
              <a:gd name="T7" fmla="*/ 2147483647 h 21"/>
              <a:gd name="T8" fmla="*/ 2147483647 w 90"/>
              <a:gd name="T9" fmla="*/ 2147483647 h 21"/>
              <a:gd name="T10" fmla="*/ 2147483647 w 90"/>
              <a:gd name="T11" fmla="*/ 2147483647 h 21"/>
              <a:gd name="T12" fmla="*/ 2147483647 w 90"/>
              <a:gd name="T13" fmla="*/ 0 h 21"/>
              <a:gd name="T14" fmla="*/ 0 60000 65536"/>
              <a:gd name="T15" fmla="*/ 0 60000 65536"/>
              <a:gd name="T16" fmla="*/ 0 60000 65536"/>
              <a:gd name="T17" fmla="*/ 0 60000 65536"/>
              <a:gd name="T18" fmla="*/ 0 60000 65536"/>
              <a:gd name="T19" fmla="*/ 0 60000 65536"/>
              <a:gd name="T20" fmla="*/ 0 60000 65536"/>
              <a:gd name="T21" fmla="*/ 0 w 90"/>
              <a:gd name="T22" fmla="*/ 0 h 21"/>
              <a:gd name="T23" fmla="*/ 90 w 90"/>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0" h="21">
                <a:moveTo>
                  <a:pt x="0" y="21"/>
                </a:moveTo>
                <a:lnTo>
                  <a:pt x="34" y="21"/>
                </a:lnTo>
                <a:lnTo>
                  <a:pt x="47" y="14"/>
                </a:lnTo>
                <a:lnTo>
                  <a:pt x="59" y="13"/>
                </a:lnTo>
                <a:lnTo>
                  <a:pt x="90" y="16"/>
                </a:lnTo>
                <a:lnTo>
                  <a:pt x="31" y="4"/>
                </a:lnTo>
                <a:lnTo>
                  <a:pt x="11" y="0"/>
                </a:lnTo>
              </a:path>
            </a:pathLst>
          </a:custGeom>
          <a:noFill/>
          <a:ln w="38100" cmpd="sng">
            <a:solidFill>
              <a:srgbClr val="3366FF"/>
            </a:solidFill>
            <a:round/>
            <a:headEnd/>
            <a:tailEnd/>
          </a:ln>
        </xdr:spPr>
      </xdr:sp>
      <xdr:sp macro="" textlink="">
        <xdr:nvSpPr>
          <xdr:cNvPr id="10270" name="Line 416">
            <a:extLst>
              <a:ext uri="{FF2B5EF4-FFF2-40B4-BE49-F238E27FC236}">
                <a16:creationId xmlns:a16="http://schemas.microsoft.com/office/drawing/2014/main" id="{00000000-0008-0000-0F00-00001E280000}"/>
              </a:ext>
            </a:extLst>
          </xdr:cNvPr>
          <xdr:cNvSpPr>
            <a:spLocks noChangeShapeType="1"/>
          </xdr:cNvSpPr>
        </xdr:nvSpPr>
        <xdr:spPr bwMode="auto">
          <a:xfrm flipV="1">
            <a:off x="1200150" y="2352675"/>
            <a:ext cx="114300" cy="28575"/>
          </a:xfrm>
          <a:prstGeom prst="line">
            <a:avLst/>
          </a:prstGeom>
          <a:noFill/>
          <a:ln w="9525">
            <a:solidFill>
              <a:srgbClr val="3366FF"/>
            </a:solidFill>
            <a:round/>
            <a:headEnd/>
            <a:tailEnd/>
          </a:ln>
        </xdr:spPr>
      </xdr:sp>
      <xdr:sp macro="" textlink="">
        <xdr:nvSpPr>
          <xdr:cNvPr id="10271" name="Line 417">
            <a:extLst>
              <a:ext uri="{FF2B5EF4-FFF2-40B4-BE49-F238E27FC236}">
                <a16:creationId xmlns:a16="http://schemas.microsoft.com/office/drawing/2014/main" id="{00000000-0008-0000-0F00-00001F280000}"/>
              </a:ext>
            </a:extLst>
          </xdr:cNvPr>
          <xdr:cNvSpPr>
            <a:spLocks noChangeShapeType="1"/>
          </xdr:cNvSpPr>
        </xdr:nvSpPr>
        <xdr:spPr bwMode="auto">
          <a:xfrm flipV="1">
            <a:off x="1133475" y="2352675"/>
            <a:ext cx="133350" cy="28575"/>
          </a:xfrm>
          <a:prstGeom prst="line">
            <a:avLst/>
          </a:prstGeom>
          <a:noFill/>
          <a:ln w="9525">
            <a:solidFill>
              <a:srgbClr val="3366FF"/>
            </a:solidFill>
            <a:round/>
            <a:headEnd/>
            <a:tailEnd/>
          </a:ln>
        </xdr:spPr>
      </xdr:sp>
      <xdr:sp macro="" textlink="">
        <xdr:nvSpPr>
          <xdr:cNvPr id="10272" name="Freeform 418">
            <a:extLst>
              <a:ext uri="{FF2B5EF4-FFF2-40B4-BE49-F238E27FC236}">
                <a16:creationId xmlns:a16="http://schemas.microsoft.com/office/drawing/2014/main" id="{00000000-0008-0000-0F00-000020280000}"/>
              </a:ext>
            </a:extLst>
          </xdr:cNvPr>
          <xdr:cNvSpPr>
            <a:spLocks/>
          </xdr:cNvSpPr>
        </xdr:nvSpPr>
        <xdr:spPr bwMode="auto">
          <a:xfrm>
            <a:off x="180975" y="923925"/>
            <a:ext cx="2085975" cy="1400175"/>
          </a:xfrm>
          <a:custGeom>
            <a:avLst/>
            <a:gdLst>
              <a:gd name="T0" fmla="*/ 2147483647 w 219"/>
              <a:gd name="T1" fmla="*/ 2147483647 h 147"/>
              <a:gd name="T2" fmla="*/ 2147483647 w 219"/>
              <a:gd name="T3" fmla="*/ 2147483647 h 147"/>
              <a:gd name="T4" fmla="*/ 2147483647 w 219"/>
              <a:gd name="T5" fmla="*/ 2147483647 h 147"/>
              <a:gd name="T6" fmla="*/ 2147483647 w 219"/>
              <a:gd name="T7" fmla="*/ 0 h 147"/>
              <a:gd name="T8" fmla="*/ 2147483647 w 219"/>
              <a:gd name="T9" fmla="*/ 0 h 147"/>
              <a:gd name="T10" fmla="*/ 0 w 219"/>
              <a:gd name="T11" fmla="*/ 0 h 147"/>
              <a:gd name="T12" fmla="*/ 0 w 219"/>
              <a:gd name="T13" fmla="*/ 2147483647 h 147"/>
              <a:gd name="T14" fmla="*/ 2147483647 w 219"/>
              <a:gd name="T15" fmla="*/ 2147483647 h 147"/>
              <a:gd name="T16" fmla="*/ 2147483647 w 219"/>
              <a:gd name="T17" fmla="*/ 2147483647 h 147"/>
              <a:gd name="T18" fmla="*/ 2147483647 w 219"/>
              <a:gd name="T19" fmla="*/ 2147483647 h 147"/>
              <a:gd name="T20" fmla="*/ 2147483647 w 219"/>
              <a:gd name="T21" fmla="*/ 2147483647 h 147"/>
              <a:gd name="T22" fmla="*/ 2147483647 w 219"/>
              <a:gd name="T23" fmla="*/ 2147483647 h 147"/>
              <a:gd name="T24" fmla="*/ 2147483647 w 219"/>
              <a:gd name="T25" fmla="*/ 2147483647 h 14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19"/>
              <a:gd name="T40" fmla="*/ 0 h 147"/>
              <a:gd name="T41" fmla="*/ 219 w 219"/>
              <a:gd name="T42" fmla="*/ 147 h 14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19" h="147">
                <a:moveTo>
                  <a:pt x="219" y="139"/>
                </a:moveTo>
                <a:lnTo>
                  <a:pt x="169" y="128"/>
                </a:lnTo>
                <a:lnTo>
                  <a:pt x="108" y="117"/>
                </a:lnTo>
                <a:lnTo>
                  <a:pt x="106" y="0"/>
                </a:lnTo>
                <a:lnTo>
                  <a:pt x="53" y="0"/>
                </a:lnTo>
                <a:lnTo>
                  <a:pt x="0" y="0"/>
                </a:lnTo>
                <a:lnTo>
                  <a:pt x="0" y="8"/>
                </a:lnTo>
                <a:lnTo>
                  <a:pt x="47" y="8"/>
                </a:lnTo>
                <a:lnTo>
                  <a:pt x="99" y="8"/>
                </a:lnTo>
                <a:lnTo>
                  <a:pt x="99" y="124"/>
                </a:lnTo>
                <a:lnTo>
                  <a:pt x="159" y="135"/>
                </a:lnTo>
                <a:lnTo>
                  <a:pt x="218" y="147"/>
                </a:lnTo>
                <a:lnTo>
                  <a:pt x="219" y="139"/>
                </a:lnTo>
                <a:close/>
              </a:path>
            </a:pathLst>
          </a:custGeom>
          <a:solidFill>
            <a:srgbClr val="00CCFF"/>
          </a:solidFill>
          <a:ln w="9525">
            <a:solidFill>
              <a:srgbClr val="000000"/>
            </a:solidFill>
            <a:round/>
            <a:headEnd/>
            <a:tailEnd/>
          </a:ln>
        </xdr:spPr>
      </xdr:sp>
      <xdr:sp macro="" textlink="">
        <xdr:nvSpPr>
          <xdr:cNvPr id="10273" name="Line 419">
            <a:extLst>
              <a:ext uri="{FF2B5EF4-FFF2-40B4-BE49-F238E27FC236}">
                <a16:creationId xmlns:a16="http://schemas.microsoft.com/office/drawing/2014/main" id="{00000000-0008-0000-0F00-000021280000}"/>
              </a:ext>
            </a:extLst>
          </xdr:cNvPr>
          <xdr:cNvSpPr>
            <a:spLocks noChangeShapeType="1"/>
          </xdr:cNvSpPr>
        </xdr:nvSpPr>
        <xdr:spPr bwMode="auto">
          <a:xfrm flipV="1">
            <a:off x="1638300" y="2314575"/>
            <a:ext cx="38100" cy="66675"/>
          </a:xfrm>
          <a:prstGeom prst="line">
            <a:avLst/>
          </a:prstGeom>
          <a:noFill/>
          <a:ln w="9525">
            <a:solidFill>
              <a:srgbClr val="3366FF"/>
            </a:solidFill>
            <a:round/>
            <a:headEnd/>
            <a:tailEnd/>
          </a:ln>
        </xdr:spPr>
      </xdr:sp>
      <xdr:sp macro="" textlink="">
        <xdr:nvSpPr>
          <xdr:cNvPr id="10274" name="Line 420">
            <a:extLst>
              <a:ext uri="{FF2B5EF4-FFF2-40B4-BE49-F238E27FC236}">
                <a16:creationId xmlns:a16="http://schemas.microsoft.com/office/drawing/2014/main" id="{00000000-0008-0000-0F00-000022280000}"/>
              </a:ext>
            </a:extLst>
          </xdr:cNvPr>
          <xdr:cNvSpPr>
            <a:spLocks noChangeShapeType="1"/>
          </xdr:cNvSpPr>
        </xdr:nvSpPr>
        <xdr:spPr bwMode="auto">
          <a:xfrm flipV="1">
            <a:off x="1695450" y="2305050"/>
            <a:ext cx="38100" cy="66675"/>
          </a:xfrm>
          <a:prstGeom prst="line">
            <a:avLst/>
          </a:prstGeom>
          <a:noFill/>
          <a:ln w="9525">
            <a:solidFill>
              <a:srgbClr val="3366FF"/>
            </a:solidFill>
            <a:round/>
            <a:headEnd/>
            <a:tailEnd/>
          </a:ln>
        </xdr:spPr>
      </xdr:sp>
      <xdr:grpSp>
        <xdr:nvGrpSpPr>
          <xdr:cNvPr id="10275" name="Group 421">
            <a:extLst>
              <a:ext uri="{FF2B5EF4-FFF2-40B4-BE49-F238E27FC236}">
                <a16:creationId xmlns:a16="http://schemas.microsoft.com/office/drawing/2014/main" id="{00000000-0008-0000-0F00-000023280000}"/>
              </a:ext>
            </a:extLst>
          </xdr:cNvPr>
          <xdr:cNvGrpSpPr>
            <a:grpSpLocks/>
          </xdr:cNvGrpSpPr>
        </xdr:nvGrpSpPr>
        <xdr:grpSpPr bwMode="auto">
          <a:xfrm>
            <a:off x="4162425" y="161925"/>
            <a:ext cx="2695575" cy="6019800"/>
            <a:chOff x="15" y="22"/>
            <a:chExt cx="283" cy="632"/>
          </a:xfrm>
        </xdr:grpSpPr>
        <xdr:sp macro="" textlink="">
          <xdr:nvSpPr>
            <xdr:cNvPr id="10420" name="Rectangle 422">
              <a:extLst>
                <a:ext uri="{FF2B5EF4-FFF2-40B4-BE49-F238E27FC236}">
                  <a16:creationId xmlns:a16="http://schemas.microsoft.com/office/drawing/2014/main" id="{00000000-0008-0000-0F00-0000B4280000}"/>
                </a:ext>
              </a:extLst>
            </xdr:cNvPr>
            <xdr:cNvSpPr>
              <a:spLocks noChangeArrowheads="1"/>
            </xdr:cNvSpPr>
          </xdr:nvSpPr>
          <xdr:spPr bwMode="auto">
            <a:xfrm>
              <a:off x="258" y="41"/>
              <a:ext cx="39" cy="473"/>
            </a:xfrm>
            <a:prstGeom prst="rect">
              <a:avLst/>
            </a:prstGeom>
            <a:solidFill>
              <a:srgbClr val="69FFFF"/>
            </a:solidFill>
            <a:ln w="19050">
              <a:solidFill>
                <a:srgbClr val="000000"/>
              </a:solidFill>
              <a:miter lim="800000"/>
              <a:headEnd/>
              <a:tailEnd/>
            </a:ln>
          </xdr:spPr>
        </xdr:sp>
        <xdr:sp macro="" textlink="">
          <xdr:nvSpPr>
            <xdr:cNvPr id="10421" name="Line 423">
              <a:extLst>
                <a:ext uri="{FF2B5EF4-FFF2-40B4-BE49-F238E27FC236}">
                  <a16:creationId xmlns:a16="http://schemas.microsoft.com/office/drawing/2014/main" id="{00000000-0008-0000-0F00-0000B5280000}"/>
                </a:ext>
              </a:extLst>
            </xdr:cNvPr>
            <xdr:cNvSpPr>
              <a:spLocks noChangeShapeType="1"/>
            </xdr:cNvSpPr>
          </xdr:nvSpPr>
          <xdr:spPr bwMode="auto">
            <a:xfrm>
              <a:off x="97" y="238"/>
              <a:ext cx="0" cy="316"/>
            </a:xfrm>
            <a:prstGeom prst="line">
              <a:avLst/>
            </a:prstGeom>
            <a:noFill/>
            <a:ln w="9525">
              <a:solidFill>
                <a:srgbClr val="000000"/>
              </a:solidFill>
              <a:round/>
              <a:headEnd/>
              <a:tailEnd/>
            </a:ln>
          </xdr:spPr>
        </xdr:sp>
        <xdr:sp macro="" textlink="">
          <xdr:nvSpPr>
            <xdr:cNvPr id="10422" name="Line 424">
              <a:extLst>
                <a:ext uri="{FF2B5EF4-FFF2-40B4-BE49-F238E27FC236}">
                  <a16:creationId xmlns:a16="http://schemas.microsoft.com/office/drawing/2014/main" id="{00000000-0008-0000-0F00-0000B6280000}"/>
                </a:ext>
              </a:extLst>
            </xdr:cNvPr>
            <xdr:cNvSpPr>
              <a:spLocks noChangeShapeType="1"/>
            </xdr:cNvSpPr>
          </xdr:nvSpPr>
          <xdr:spPr bwMode="auto">
            <a:xfrm>
              <a:off x="50" y="185"/>
              <a:ext cx="0" cy="446"/>
            </a:xfrm>
            <a:prstGeom prst="line">
              <a:avLst/>
            </a:prstGeom>
            <a:noFill/>
            <a:ln w="9525">
              <a:solidFill>
                <a:srgbClr val="000000"/>
              </a:solidFill>
              <a:round/>
              <a:headEnd/>
              <a:tailEnd/>
            </a:ln>
          </xdr:spPr>
        </xdr:sp>
        <xdr:sp macro="" textlink="">
          <xdr:nvSpPr>
            <xdr:cNvPr id="10423" name="Line 425">
              <a:extLst>
                <a:ext uri="{FF2B5EF4-FFF2-40B4-BE49-F238E27FC236}">
                  <a16:creationId xmlns:a16="http://schemas.microsoft.com/office/drawing/2014/main" id="{00000000-0008-0000-0F00-0000B7280000}"/>
                </a:ext>
              </a:extLst>
            </xdr:cNvPr>
            <xdr:cNvSpPr>
              <a:spLocks noChangeShapeType="1"/>
            </xdr:cNvSpPr>
          </xdr:nvSpPr>
          <xdr:spPr bwMode="auto">
            <a:xfrm flipV="1">
              <a:off x="98" y="125"/>
              <a:ext cx="198" cy="114"/>
            </a:xfrm>
            <a:prstGeom prst="line">
              <a:avLst/>
            </a:prstGeom>
            <a:noFill/>
            <a:ln w="9525">
              <a:solidFill>
                <a:srgbClr val="000000"/>
              </a:solidFill>
              <a:round/>
              <a:headEnd/>
              <a:tailEnd/>
            </a:ln>
          </xdr:spPr>
        </xdr:sp>
        <xdr:sp macro="" textlink="">
          <xdr:nvSpPr>
            <xdr:cNvPr id="10424" name="Line 426">
              <a:extLst>
                <a:ext uri="{FF2B5EF4-FFF2-40B4-BE49-F238E27FC236}">
                  <a16:creationId xmlns:a16="http://schemas.microsoft.com/office/drawing/2014/main" id="{00000000-0008-0000-0F00-0000B8280000}"/>
                </a:ext>
              </a:extLst>
            </xdr:cNvPr>
            <xdr:cNvSpPr>
              <a:spLocks noChangeShapeType="1"/>
            </xdr:cNvSpPr>
          </xdr:nvSpPr>
          <xdr:spPr bwMode="auto">
            <a:xfrm flipV="1">
              <a:off x="97" y="440"/>
              <a:ext cx="198" cy="114"/>
            </a:xfrm>
            <a:prstGeom prst="line">
              <a:avLst/>
            </a:prstGeom>
            <a:noFill/>
            <a:ln w="9525">
              <a:solidFill>
                <a:srgbClr val="000000"/>
              </a:solidFill>
              <a:round/>
              <a:headEnd/>
              <a:tailEnd/>
            </a:ln>
          </xdr:spPr>
        </xdr:sp>
        <xdr:sp macro="" textlink="">
          <xdr:nvSpPr>
            <xdr:cNvPr id="10425" name="Line 427">
              <a:extLst>
                <a:ext uri="{FF2B5EF4-FFF2-40B4-BE49-F238E27FC236}">
                  <a16:creationId xmlns:a16="http://schemas.microsoft.com/office/drawing/2014/main" id="{00000000-0008-0000-0F00-0000B9280000}"/>
                </a:ext>
              </a:extLst>
            </xdr:cNvPr>
            <xdr:cNvSpPr>
              <a:spLocks noChangeShapeType="1"/>
            </xdr:cNvSpPr>
          </xdr:nvSpPr>
          <xdr:spPr bwMode="auto">
            <a:xfrm>
              <a:off x="296" y="125"/>
              <a:ext cx="0" cy="316"/>
            </a:xfrm>
            <a:prstGeom prst="line">
              <a:avLst/>
            </a:prstGeom>
            <a:noFill/>
            <a:ln w="9525">
              <a:solidFill>
                <a:srgbClr val="000000"/>
              </a:solidFill>
              <a:round/>
              <a:headEnd/>
              <a:tailEnd/>
            </a:ln>
          </xdr:spPr>
        </xdr:sp>
        <xdr:sp macro="" textlink="">
          <xdr:nvSpPr>
            <xdr:cNvPr id="10426" name="Line 428">
              <a:extLst>
                <a:ext uri="{FF2B5EF4-FFF2-40B4-BE49-F238E27FC236}">
                  <a16:creationId xmlns:a16="http://schemas.microsoft.com/office/drawing/2014/main" id="{00000000-0008-0000-0F00-0000BA280000}"/>
                </a:ext>
              </a:extLst>
            </xdr:cNvPr>
            <xdr:cNvSpPr>
              <a:spLocks noChangeShapeType="1"/>
            </xdr:cNvSpPr>
          </xdr:nvSpPr>
          <xdr:spPr bwMode="auto">
            <a:xfrm flipV="1">
              <a:off x="61" y="71"/>
              <a:ext cx="198" cy="114"/>
            </a:xfrm>
            <a:prstGeom prst="line">
              <a:avLst/>
            </a:prstGeom>
            <a:noFill/>
            <a:ln w="9525">
              <a:solidFill>
                <a:srgbClr val="000000"/>
              </a:solidFill>
              <a:round/>
              <a:headEnd/>
              <a:tailEnd/>
            </a:ln>
          </xdr:spPr>
        </xdr:sp>
        <xdr:sp macro="" textlink="">
          <xdr:nvSpPr>
            <xdr:cNvPr id="10427" name="Line 429">
              <a:extLst>
                <a:ext uri="{FF2B5EF4-FFF2-40B4-BE49-F238E27FC236}">
                  <a16:creationId xmlns:a16="http://schemas.microsoft.com/office/drawing/2014/main" id="{00000000-0008-0000-0F00-0000BB280000}"/>
                </a:ext>
              </a:extLst>
            </xdr:cNvPr>
            <xdr:cNvSpPr>
              <a:spLocks noChangeShapeType="1"/>
            </xdr:cNvSpPr>
          </xdr:nvSpPr>
          <xdr:spPr bwMode="auto">
            <a:xfrm flipH="1" flipV="1">
              <a:off x="60" y="186"/>
              <a:ext cx="37" cy="52"/>
            </a:xfrm>
            <a:prstGeom prst="line">
              <a:avLst/>
            </a:prstGeom>
            <a:noFill/>
            <a:ln w="9525">
              <a:solidFill>
                <a:srgbClr val="000000"/>
              </a:solidFill>
              <a:round/>
              <a:headEnd/>
              <a:tailEnd/>
            </a:ln>
          </xdr:spPr>
        </xdr:sp>
        <xdr:sp macro="" textlink="">
          <xdr:nvSpPr>
            <xdr:cNvPr id="10428" name="Line 430">
              <a:extLst>
                <a:ext uri="{FF2B5EF4-FFF2-40B4-BE49-F238E27FC236}">
                  <a16:creationId xmlns:a16="http://schemas.microsoft.com/office/drawing/2014/main" id="{00000000-0008-0000-0F00-0000BC280000}"/>
                </a:ext>
              </a:extLst>
            </xdr:cNvPr>
            <xdr:cNvSpPr>
              <a:spLocks noChangeShapeType="1"/>
            </xdr:cNvSpPr>
          </xdr:nvSpPr>
          <xdr:spPr bwMode="auto">
            <a:xfrm flipV="1">
              <a:off x="60" y="157"/>
              <a:ext cx="0" cy="28"/>
            </a:xfrm>
            <a:prstGeom prst="line">
              <a:avLst/>
            </a:prstGeom>
            <a:noFill/>
            <a:ln w="9525">
              <a:solidFill>
                <a:srgbClr val="000000"/>
              </a:solidFill>
              <a:round/>
              <a:headEnd/>
              <a:tailEnd/>
            </a:ln>
          </xdr:spPr>
        </xdr:sp>
        <xdr:sp macro="" textlink="">
          <xdr:nvSpPr>
            <xdr:cNvPr id="10429" name="Line 431">
              <a:extLst>
                <a:ext uri="{FF2B5EF4-FFF2-40B4-BE49-F238E27FC236}">
                  <a16:creationId xmlns:a16="http://schemas.microsoft.com/office/drawing/2014/main" id="{00000000-0008-0000-0F00-0000BD280000}"/>
                </a:ext>
              </a:extLst>
            </xdr:cNvPr>
            <xdr:cNvSpPr>
              <a:spLocks noChangeShapeType="1"/>
            </xdr:cNvSpPr>
          </xdr:nvSpPr>
          <xdr:spPr bwMode="auto">
            <a:xfrm flipV="1">
              <a:off x="50" y="158"/>
              <a:ext cx="0" cy="28"/>
            </a:xfrm>
            <a:prstGeom prst="line">
              <a:avLst/>
            </a:prstGeom>
            <a:noFill/>
            <a:ln w="9525">
              <a:solidFill>
                <a:srgbClr val="000000"/>
              </a:solidFill>
              <a:round/>
              <a:headEnd/>
              <a:tailEnd/>
            </a:ln>
          </xdr:spPr>
        </xdr:sp>
        <xdr:sp macro="" textlink="">
          <xdr:nvSpPr>
            <xdr:cNvPr id="10430" name="Line 432">
              <a:extLst>
                <a:ext uri="{FF2B5EF4-FFF2-40B4-BE49-F238E27FC236}">
                  <a16:creationId xmlns:a16="http://schemas.microsoft.com/office/drawing/2014/main" id="{00000000-0008-0000-0F00-0000BE280000}"/>
                </a:ext>
              </a:extLst>
            </xdr:cNvPr>
            <xdr:cNvSpPr>
              <a:spLocks noChangeShapeType="1"/>
            </xdr:cNvSpPr>
          </xdr:nvSpPr>
          <xdr:spPr bwMode="auto">
            <a:xfrm flipV="1">
              <a:off x="61" y="44"/>
              <a:ext cx="198" cy="114"/>
            </a:xfrm>
            <a:prstGeom prst="line">
              <a:avLst/>
            </a:prstGeom>
            <a:noFill/>
            <a:ln w="9525">
              <a:solidFill>
                <a:srgbClr val="000000"/>
              </a:solidFill>
              <a:round/>
              <a:headEnd/>
              <a:tailEnd/>
            </a:ln>
          </xdr:spPr>
        </xdr:sp>
        <xdr:sp macro="" textlink="">
          <xdr:nvSpPr>
            <xdr:cNvPr id="10431" name="Line 433">
              <a:extLst>
                <a:ext uri="{FF2B5EF4-FFF2-40B4-BE49-F238E27FC236}">
                  <a16:creationId xmlns:a16="http://schemas.microsoft.com/office/drawing/2014/main" id="{00000000-0008-0000-0F00-0000BF280000}"/>
                </a:ext>
              </a:extLst>
            </xdr:cNvPr>
            <xdr:cNvSpPr>
              <a:spLocks noChangeShapeType="1"/>
            </xdr:cNvSpPr>
          </xdr:nvSpPr>
          <xdr:spPr bwMode="auto">
            <a:xfrm flipV="1">
              <a:off x="258" y="45"/>
              <a:ext cx="0" cy="26"/>
            </a:xfrm>
            <a:prstGeom prst="line">
              <a:avLst/>
            </a:prstGeom>
            <a:noFill/>
            <a:ln w="9525">
              <a:solidFill>
                <a:srgbClr val="000000"/>
              </a:solidFill>
              <a:round/>
              <a:headEnd/>
              <a:tailEnd/>
            </a:ln>
          </xdr:spPr>
        </xdr:sp>
        <xdr:sp macro="" textlink="">
          <xdr:nvSpPr>
            <xdr:cNvPr id="10432" name="Line 434">
              <a:extLst>
                <a:ext uri="{FF2B5EF4-FFF2-40B4-BE49-F238E27FC236}">
                  <a16:creationId xmlns:a16="http://schemas.microsoft.com/office/drawing/2014/main" id="{00000000-0008-0000-0F00-0000C0280000}"/>
                </a:ext>
              </a:extLst>
            </xdr:cNvPr>
            <xdr:cNvSpPr>
              <a:spLocks noChangeShapeType="1"/>
            </xdr:cNvSpPr>
          </xdr:nvSpPr>
          <xdr:spPr bwMode="auto">
            <a:xfrm flipV="1">
              <a:off x="59" y="492"/>
              <a:ext cx="198" cy="114"/>
            </a:xfrm>
            <a:prstGeom prst="line">
              <a:avLst/>
            </a:prstGeom>
            <a:noFill/>
            <a:ln w="9525">
              <a:solidFill>
                <a:srgbClr val="000000"/>
              </a:solidFill>
              <a:round/>
              <a:headEnd/>
              <a:tailEnd/>
            </a:ln>
          </xdr:spPr>
        </xdr:sp>
        <xdr:sp macro="" textlink="">
          <xdr:nvSpPr>
            <xdr:cNvPr id="10433" name="Line 435">
              <a:extLst>
                <a:ext uri="{FF2B5EF4-FFF2-40B4-BE49-F238E27FC236}">
                  <a16:creationId xmlns:a16="http://schemas.microsoft.com/office/drawing/2014/main" id="{00000000-0008-0000-0F00-0000C1280000}"/>
                </a:ext>
              </a:extLst>
            </xdr:cNvPr>
            <xdr:cNvSpPr>
              <a:spLocks noChangeShapeType="1"/>
            </xdr:cNvSpPr>
          </xdr:nvSpPr>
          <xdr:spPr bwMode="auto">
            <a:xfrm flipV="1">
              <a:off x="258" y="438"/>
              <a:ext cx="40" cy="54"/>
            </a:xfrm>
            <a:prstGeom prst="line">
              <a:avLst/>
            </a:prstGeom>
            <a:noFill/>
            <a:ln w="9525">
              <a:solidFill>
                <a:srgbClr val="000000"/>
              </a:solidFill>
              <a:round/>
              <a:headEnd/>
              <a:tailEnd/>
            </a:ln>
          </xdr:spPr>
        </xdr:sp>
        <xdr:sp macro="" textlink="">
          <xdr:nvSpPr>
            <xdr:cNvPr id="10434" name="Freeform 436">
              <a:extLst>
                <a:ext uri="{FF2B5EF4-FFF2-40B4-BE49-F238E27FC236}">
                  <a16:creationId xmlns:a16="http://schemas.microsoft.com/office/drawing/2014/main" id="{00000000-0008-0000-0F00-0000C2280000}"/>
                </a:ext>
              </a:extLst>
            </xdr:cNvPr>
            <xdr:cNvSpPr>
              <a:spLocks/>
            </xdr:cNvSpPr>
          </xdr:nvSpPr>
          <xdr:spPr bwMode="auto">
            <a:xfrm>
              <a:off x="67" y="72"/>
              <a:ext cx="221" cy="125"/>
            </a:xfrm>
            <a:custGeom>
              <a:avLst/>
              <a:gdLst>
                <a:gd name="T0" fmla="*/ 45 w 221"/>
                <a:gd name="T1" fmla="*/ 117 h 125"/>
                <a:gd name="T2" fmla="*/ 198 w 221"/>
                <a:gd name="T3" fmla="*/ 30 h 125"/>
                <a:gd name="T4" fmla="*/ 211 w 221"/>
                <a:gd name="T5" fmla="*/ 23 h 125"/>
                <a:gd name="T6" fmla="*/ 221 w 221"/>
                <a:gd name="T7" fmla="*/ 17 h 125"/>
                <a:gd name="T8" fmla="*/ 212 w 221"/>
                <a:gd name="T9" fmla="*/ 13 h 125"/>
                <a:gd name="T10" fmla="*/ 192 w 221"/>
                <a:gd name="T11" fmla="*/ 8 h 125"/>
                <a:gd name="T12" fmla="*/ 192 w 221"/>
                <a:gd name="T13" fmla="*/ 0 h 125"/>
                <a:gd name="T14" fmla="*/ 0 w 221"/>
                <a:gd name="T15" fmla="*/ 107 h 125"/>
                <a:gd name="T16" fmla="*/ 30 w 221"/>
                <a:gd name="T17" fmla="*/ 125 h 125"/>
                <a:gd name="T18" fmla="*/ 36 w 221"/>
                <a:gd name="T19" fmla="*/ 122 h 125"/>
                <a:gd name="T20" fmla="*/ 45 w 221"/>
                <a:gd name="T21" fmla="*/ 117 h 12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221"/>
                <a:gd name="T34" fmla="*/ 0 h 125"/>
                <a:gd name="T35" fmla="*/ 221 w 221"/>
                <a:gd name="T36" fmla="*/ 125 h 12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221" h="125">
                  <a:moveTo>
                    <a:pt x="45" y="117"/>
                  </a:moveTo>
                  <a:lnTo>
                    <a:pt x="198" y="30"/>
                  </a:lnTo>
                  <a:lnTo>
                    <a:pt x="211" y="23"/>
                  </a:lnTo>
                  <a:lnTo>
                    <a:pt x="221" y="17"/>
                  </a:lnTo>
                  <a:lnTo>
                    <a:pt x="212" y="13"/>
                  </a:lnTo>
                  <a:lnTo>
                    <a:pt x="192" y="8"/>
                  </a:lnTo>
                  <a:lnTo>
                    <a:pt x="192" y="0"/>
                  </a:lnTo>
                  <a:lnTo>
                    <a:pt x="0" y="107"/>
                  </a:lnTo>
                  <a:lnTo>
                    <a:pt x="30" y="125"/>
                  </a:lnTo>
                  <a:lnTo>
                    <a:pt x="36" y="122"/>
                  </a:lnTo>
                  <a:lnTo>
                    <a:pt x="45" y="117"/>
                  </a:lnTo>
                  <a:close/>
                </a:path>
              </a:pathLst>
            </a:custGeom>
            <a:gradFill rotWithShape="1">
              <a:gsLst>
                <a:gs pos="0">
                  <a:srgbClr val="FFFFFF"/>
                </a:gs>
                <a:gs pos="100000">
                  <a:srgbClr val="69FFFF"/>
                </a:gs>
              </a:gsLst>
              <a:lin ang="5400000" scaled="1"/>
            </a:gradFill>
            <a:ln w="57150" cmpd="sng">
              <a:solidFill>
                <a:srgbClr val="A6CAF0"/>
              </a:solidFill>
              <a:round/>
              <a:headEnd/>
              <a:tailEnd/>
            </a:ln>
          </xdr:spPr>
        </xdr:sp>
        <xdr:sp macro="" textlink="">
          <xdr:nvSpPr>
            <xdr:cNvPr id="10435" name="Freeform 437">
              <a:extLst>
                <a:ext uri="{FF2B5EF4-FFF2-40B4-BE49-F238E27FC236}">
                  <a16:creationId xmlns:a16="http://schemas.microsoft.com/office/drawing/2014/main" id="{00000000-0008-0000-0F00-0000C3280000}"/>
                </a:ext>
              </a:extLst>
            </xdr:cNvPr>
            <xdr:cNvSpPr>
              <a:spLocks/>
            </xdr:cNvSpPr>
          </xdr:nvSpPr>
          <xdr:spPr bwMode="auto">
            <a:xfrm>
              <a:off x="46" y="44"/>
              <a:ext cx="212" cy="134"/>
            </a:xfrm>
            <a:custGeom>
              <a:avLst/>
              <a:gdLst>
                <a:gd name="T0" fmla="*/ 14 w 212"/>
                <a:gd name="T1" fmla="*/ 134 h 134"/>
                <a:gd name="T2" fmla="*/ 38 w 212"/>
                <a:gd name="T3" fmla="*/ 125 h 134"/>
                <a:gd name="T4" fmla="*/ 212 w 212"/>
                <a:gd name="T5" fmla="*/ 27 h 134"/>
                <a:gd name="T6" fmla="*/ 212 w 212"/>
                <a:gd name="T7" fmla="*/ 0 h 134"/>
                <a:gd name="T8" fmla="*/ 0 w 212"/>
                <a:gd name="T9" fmla="*/ 117 h 134"/>
                <a:gd name="T10" fmla="*/ 14 w 212"/>
                <a:gd name="T11" fmla="*/ 134 h 134"/>
                <a:gd name="T12" fmla="*/ 0 60000 65536"/>
                <a:gd name="T13" fmla="*/ 0 60000 65536"/>
                <a:gd name="T14" fmla="*/ 0 60000 65536"/>
                <a:gd name="T15" fmla="*/ 0 60000 65536"/>
                <a:gd name="T16" fmla="*/ 0 60000 65536"/>
                <a:gd name="T17" fmla="*/ 0 60000 65536"/>
                <a:gd name="T18" fmla="*/ 0 w 212"/>
                <a:gd name="T19" fmla="*/ 0 h 134"/>
                <a:gd name="T20" fmla="*/ 212 w 212"/>
                <a:gd name="T21" fmla="*/ 134 h 134"/>
              </a:gdLst>
              <a:ahLst/>
              <a:cxnLst>
                <a:cxn ang="T12">
                  <a:pos x="T0" y="T1"/>
                </a:cxn>
                <a:cxn ang="T13">
                  <a:pos x="T2" y="T3"/>
                </a:cxn>
                <a:cxn ang="T14">
                  <a:pos x="T4" y="T5"/>
                </a:cxn>
                <a:cxn ang="T15">
                  <a:pos x="T6" y="T7"/>
                </a:cxn>
                <a:cxn ang="T16">
                  <a:pos x="T8" y="T9"/>
                </a:cxn>
                <a:cxn ang="T17">
                  <a:pos x="T10" y="T11"/>
                </a:cxn>
              </a:cxnLst>
              <a:rect l="T18" t="T19" r="T20" b="T21"/>
              <a:pathLst>
                <a:path w="212" h="134">
                  <a:moveTo>
                    <a:pt x="14" y="134"/>
                  </a:moveTo>
                  <a:lnTo>
                    <a:pt x="38" y="125"/>
                  </a:lnTo>
                  <a:lnTo>
                    <a:pt x="212" y="27"/>
                  </a:lnTo>
                  <a:lnTo>
                    <a:pt x="212" y="0"/>
                  </a:lnTo>
                  <a:lnTo>
                    <a:pt x="0" y="117"/>
                  </a:lnTo>
                  <a:lnTo>
                    <a:pt x="14" y="134"/>
                  </a:lnTo>
                  <a:close/>
                </a:path>
              </a:pathLst>
            </a:custGeom>
            <a:gradFill rotWithShape="1">
              <a:gsLst>
                <a:gs pos="0">
                  <a:srgbClr val="69FFFF"/>
                </a:gs>
                <a:gs pos="100000">
                  <a:srgbClr val="FFFFFF"/>
                </a:gs>
              </a:gsLst>
              <a:lin ang="5400000" scaled="1"/>
            </a:gradFill>
            <a:ln w="38100" cmpd="sng">
              <a:solidFill>
                <a:srgbClr val="A6CAF0"/>
              </a:solidFill>
              <a:round/>
              <a:headEnd/>
              <a:tailEnd/>
            </a:ln>
          </xdr:spPr>
        </xdr:sp>
        <xdr:sp macro="" textlink="">
          <xdr:nvSpPr>
            <xdr:cNvPr id="10436" name="Freeform 438">
              <a:extLst>
                <a:ext uri="{FF2B5EF4-FFF2-40B4-BE49-F238E27FC236}">
                  <a16:creationId xmlns:a16="http://schemas.microsoft.com/office/drawing/2014/main" id="{00000000-0008-0000-0F00-0000C4280000}"/>
                </a:ext>
              </a:extLst>
            </xdr:cNvPr>
            <xdr:cNvSpPr>
              <a:spLocks/>
            </xdr:cNvSpPr>
          </xdr:nvSpPr>
          <xdr:spPr bwMode="auto">
            <a:xfrm>
              <a:off x="79" y="188"/>
              <a:ext cx="17" cy="403"/>
            </a:xfrm>
            <a:custGeom>
              <a:avLst/>
              <a:gdLst>
                <a:gd name="T0" fmla="*/ 15 w 17"/>
                <a:gd name="T1" fmla="*/ 395 h 403"/>
                <a:gd name="T2" fmla="*/ 0 w 17"/>
                <a:gd name="T3" fmla="*/ 403 h 403"/>
                <a:gd name="T4" fmla="*/ 1 w 17"/>
                <a:gd name="T5" fmla="*/ 0 h 403"/>
                <a:gd name="T6" fmla="*/ 17 w 17"/>
                <a:gd name="T7" fmla="*/ 11 h 403"/>
                <a:gd name="T8" fmla="*/ 16 w 17"/>
                <a:gd name="T9" fmla="*/ 60 h 403"/>
                <a:gd name="T10" fmla="*/ 15 w 17"/>
                <a:gd name="T11" fmla="*/ 351 h 403"/>
                <a:gd name="T12" fmla="*/ 15 w 17"/>
                <a:gd name="T13" fmla="*/ 367 h 403"/>
                <a:gd name="T14" fmla="*/ 15 w 17"/>
                <a:gd name="T15" fmla="*/ 395 h 403"/>
                <a:gd name="T16" fmla="*/ 0 60000 65536"/>
                <a:gd name="T17" fmla="*/ 0 60000 65536"/>
                <a:gd name="T18" fmla="*/ 0 60000 65536"/>
                <a:gd name="T19" fmla="*/ 0 60000 65536"/>
                <a:gd name="T20" fmla="*/ 0 60000 65536"/>
                <a:gd name="T21" fmla="*/ 0 60000 65536"/>
                <a:gd name="T22" fmla="*/ 0 60000 65536"/>
                <a:gd name="T23" fmla="*/ 0 60000 65536"/>
                <a:gd name="T24" fmla="*/ 0 w 17"/>
                <a:gd name="T25" fmla="*/ 0 h 403"/>
                <a:gd name="T26" fmla="*/ 17 w 17"/>
                <a:gd name="T27" fmla="*/ 403 h 403"/>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7" h="403">
                  <a:moveTo>
                    <a:pt x="15" y="395"/>
                  </a:moveTo>
                  <a:lnTo>
                    <a:pt x="0" y="403"/>
                  </a:lnTo>
                  <a:lnTo>
                    <a:pt x="1" y="0"/>
                  </a:lnTo>
                  <a:lnTo>
                    <a:pt x="17" y="11"/>
                  </a:lnTo>
                  <a:lnTo>
                    <a:pt x="16" y="60"/>
                  </a:lnTo>
                  <a:lnTo>
                    <a:pt x="15" y="351"/>
                  </a:lnTo>
                  <a:lnTo>
                    <a:pt x="15" y="367"/>
                  </a:lnTo>
                  <a:lnTo>
                    <a:pt x="15" y="395"/>
                  </a:lnTo>
                  <a:close/>
                </a:path>
              </a:pathLst>
            </a:custGeom>
            <a:gradFill rotWithShape="1">
              <a:gsLst>
                <a:gs pos="0">
                  <a:srgbClr val="FFFFFF"/>
                </a:gs>
                <a:gs pos="100000">
                  <a:srgbClr val="69FFFF"/>
                </a:gs>
              </a:gsLst>
              <a:lin ang="18900000" scaled="1"/>
            </a:gradFill>
            <a:ln w="38100" cmpd="sng">
              <a:solidFill>
                <a:srgbClr val="A6CAF0"/>
              </a:solidFill>
              <a:round/>
              <a:headEnd/>
              <a:tailEnd/>
            </a:ln>
          </xdr:spPr>
        </xdr:sp>
        <xdr:sp macro="" textlink="">
          <xdr:nvSpPr>
            <xdr:cNvPr id="10437" name="Freeform 439">
              <a:extLst>
                <a:ext uri="{FF2B5EF4-FFF2-40B4-BE49-F238E27FC236}">
                  <a16:creationId xmlns:a16="http://schemas.microsoft.com/office/drawing/2014/main" id="{00000000-0008-0000-0F00-0000C5280000}"/>
                </a:ext>
              </a:extLst>
            </xdr:cNvPr>
            <xdr:cNvSpPr>
              <a:spLocks/>
            </xdr:cNvSpPr>
          </xdr:nvSpPr>
          <xdr:spPr bwMode="auto">
            <a:xfrm>
              <a:off x="53" y="487"/>
              <a:ext cx="210" cy="145"/>
            </a:xfrm>
            <a:custGeom>
              <a:avLst/>
              <a:gdLst>
                <a:gd name="T0" fmla="*/ 18 w 210"/>
                <a:gd name="T1" fmla="*/ 110 h 145"/>
                <a:gd name="T2" fmla="*/ 210 w 210"/>
                <a:gd name="T3" fmla="*/ 0 h 145"/>
                <a:gd name="T4" fmla="*/ 210 w 210"/>
                <a:gd name="T5" fmla="*/ 29 h 145"/>
                <a:gd name="T6" fmla="*/ 0 w 210"/>
                <a:gd name="T7" fmla="*/ 145 h 145"/>
                <a:gd name="T8" fmla="*/ 18 w 210"/>
                <a:gd name="T9" fmla="*/ 110 h 145"/>
                <a:gd name="T10" fmla="*/ 0 60000 65536"/>
                <a:gd name="T11" fmla="*/ 0 60000 65536"/>
                <a:gd name="T12" fmla="*/ 0 60000 65536"/>
                <a:gd name="T13" fmla="*/ 0 60000 65536"/>
                <a:gd name="T14" fmla="*/ 0 60000 65536"/>
                <a:gd name="T15" fmla="*/ 0 w 210"/>
                <a:gd name="T16" fmla="*/ 0 h 145"/>
                <a:gd name="T17" fmla="*/ 210 w 210"/>
                <a:gd name="T18" fmla="*/ 145 h 145"/>
              </a:gdLst>
              <a:ahLst/>
              <a:cxnLst>
                <a:cxn ang="T10">
                  <a:pos x="T0" y="T1"/>
                </a:cxn>
                <a:cxn ang="T11">
                  <a:pos x="T2" y="T3"/>
                </a:cxn>
                <a:cxn ang="T12">
                  <a:pos x="T4" y="T5"/>
                </a:cxn>
                <a:cxn ang="T13">
                  <a:pos x="T6" y="T7"/>
                </a:cxn>
                <a:cxn ang="T14">
                  <a:pos x="T8" y="T9"/>
                </a:cxn>
              </a:cxnLst>
              <a:rect l="T15" t="T16" r="T17" b="T18"/>
              <a:pathLst>
                <a:path w="210" h="145">
                  <a:moveTo>
                    <a:pt x="18" y="110"/>
                  </a:moveTo>
                  <a:lnTo>
                    <a:pt x="210" y="0"/>
                  </a:lnTo>
                  <a:lnTo>
                    <a:pt x="210" y="29"/>
                  </a:lnTo>
                  <a:lnTo>
                    <a:pt x="0" y="145"/>
                  </a:lnTo>
                  <a:lnTo>
                    <a:pt x="18" y="110"/>
                  </a:lnTo>
                  <a:close/>
                </a:path>
              </a:pathLst>
            </a:custGeom>
            <a:gradFill rotWithShape="1">
              <a:gsLst>
                <a:gs pos="0">
                  <a:srgbClr val="FFFFFF"/>
                </a:gs>
                <a:gs pos="100000">
                  <a:srgbClr val="00FFFF"/>
                </a:gs>
              </a:gsLst>
              <a:lin ang="2700000" scaled="1"/>
            </a:gradFill>
            <a:ln w="38100" cmpd="sng">
              <a:solidFill>
                <a:srgbClr val="A6CAF0"/>
              </a:solidFill>
              <a:round/>
              <a:headEnd/>
              <a:tailEnd/>
            </a:ln>
          </xdr:spPr>
        </xdr:sp>
        <xdr:sp macro="" textlink="">
          <xdr:nvSpPr>
            <xdr:cNvPr id="10438" name="Freeform 440">
              <a:extLst>
                <a:ext uri="{FF2B5EF4-FFF2-40B4-BE49-F238E27FC236}">
                  <a16:creationId xmlns:a16="http://schemas.microsoft.com/office/drawing/2014/main" id="{00000000-0008-0000-0F00-0000C6280000}"/>
                </a:ext>
              </a:extLst>
            </xdr:cNvPr>
            <xdr:cNvSpPr>
              <a:spLocks/>
            </xdr:cNvSpPr>
          </xdr:nvSpPr>
          <xdr:spPr bwMode="auto">
            <a:xfrm>
              <a:off x="67" y="543"/>
              <a:ext cx="229" cy="107"/>
            </a:xfrm>
            <a:custGeom>
              <a:avLst/>
              <a:gdLst>
                <a:gd name="T0" fmla="*/ 37 w 229"/>
                <a:gd name="T1" fmla="*/ 107 h 107"/>
                <a:gd name="T2" fmla="*/ 0 w 229"/>
                <a:gd name="T3" fmla="*/ 107 h 107"/>
                <a:gd name="T4" fmla="*/ 192 w 229"/>
                <a:gd name="T5" fmla="*/ 0 h 107"/>
                <a:gd name="T6" fmla="*/ 229 w 229"/>
                <a:gd name="T7" fmla="*/ 0 h 107"/>
                <a:gd name="T8" fmla="*/ 37 w 229"/>
                <a:gd name="T9" fmla="*/ 107 h 107"/>
                <a:gd name="T10" fmla="*/ 0 60000 65536"/>
                <a:gd name="T11" fmla="*/ 0 60000 65536"/>
                <a:gd name="T12" fmla="*/ 0 60000 65536"/>
                <a:gd name="T13" fmla="*/ 0 60000 65536"/>
                <a:gd name="T14" fmla="*/ 0 60000 65536"/>
                <a:gd name="T15" fmla="*/ 0 w 229"/>
                <a:gd name="T16" fmla="*/ 0 h 107"/>
                <a:gd name="T17" fmla="*/ 229 w 229"/>
                <a:gd name="T18" fmla="*/ 107 h 107"/>
              </a:gdLst>
              <a:ahLst/>
              <a:cxnLst>
                <a:cxn ang="T10">
                  <a:pos x="T0" y="T1"/>
                </a:cxn>
                <a:cxn ang="T11">
                  <a:pos x="T2" y="T3"/>
                </a:cxn>
                <a:cxn ang="T12">
                  <a:pos x="T4" y="T5"/>
                </a:cxn>
                <a:cxn ang="T13">
                  <a:pos x="T6" y="T7"/>
                </a:cxn>
                <a:cxn ang="T14">
                  <a:pos x="T8" y="T9"/>
                </a:cxn>
              </a:cxnLst>
              <a:rect l="T15" t="T16" r="T17" b="T18"/>
              <a:pathLst>
                <a:path w="229" h="107">
                  <a:moveTo>
                    <a:pt x="37" y="107"/>
                  </a:moveTo>
                  <a:lnTo>
                    <a:pt x="0" y="107"/>
                  </a:lnTo>
                  <a:lnTo>
                    <a:pt x="192" y="0"/>
                  </a:lnTo>
                  <a:lnTo>
                    <a:pt x="229" y="0"/>
                  </a:lnTo>
                  <a:lnTo>
                    <a:pt x="37"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439" name="Freeform 441">
              <a:extLst>
                <a:ext uri="{FF2B5EF4-FFF2-40B4-BE49-F238E27FC236}">
                  <a16:creationId xmlns:a16="http://schemas.microsoft.com/office/drawing/2014/main" id="{00000000-0008-0000-0F00-0000C7280000}"/>
                </a:ext>
              </a:extLst>
            </xdr:cNvPr>
            <xdr:cNvSpPr>
              <a:spLocks/>
            </xdr:cNvSpPr>
          </xdr:nvSpPr>
          <xdr:spPr bwMode="auto">
            <a:xfrm>
              <a:off x="69" y="519"/>
              <a:ext cx="191" cy="130"/>
            </a:xfrm>
            <a:custGeom>
              <a:avLst/>
              <a:gdLst>
                <a:gd name="T0" fmla="*/ 0 w 191"/>
                <a:gd name="T1" fmla="*/ 106 h 130"/>
                <a:gd name="T2" fmla="*/ 191 w 191"/>
                <a:gd name="T3" fmla="*/ 0 h 130"/>
                <a:gd name="T4" fmla="*/ 191 w 191"/>
                <a:gd name="T5" fmla="*/ 24 h 130"/>
                <a:gd name="T6" fmla="*/ 0 w 191"/>
                <a:gd name="T7" fmla="*/ 130 h 130"/>
                <a:gd name="T8" fmla="*/ 0 w 191"/>
                <a:gd name="T9" fmla="*/ 106 h 130"/>
                <a:gd name="T10" fmla="*/ 0 60000 65536"/>
                <a:gd name="T11" fmla="*/ 0 60000 65536"/>
                <a:gd name="T12" fmla="*/ 0 60000 65536"/>
                <a:gd name="T13" fmla="*/ 0 60000 65536"/>
                <a:gd name="T14" fmla="*/ 0 60000 65536"/>
                <a:gd name="T15" fmla="*/ 0 w 191"/>
                <a:gd name="T16" fmla="*/ 0 h 130"/>
                <a:gd name="T17" fmla="*/ 191 w 191"/>
                <a:gd name="T18" fmla="*/ 130 h 130"/>
              </a:gdLst>
              <a:ahLst/>
              <a:cxnLst>
                <a:cxn ang="T10">
                  <a:pos x="T0" y="T1"/>
                </a:cxn>
                <a:cxn ang="T11">
                  <a:pos x="T2" y="T3"/>
                </a:cxn>
                <a:cxn ang="T12">
                  <a:pos x="T4" y="T5"/>
                </a:cxn>
                <a:cxn ang="T13">
                  <a:pos x="T6" y="T7"/>
                </a:cxn>
                <a:cxn ang="T14">
                  <a:pos x="T8" y="T9"/>
                </a:cxn>
              </a:cxnLst>
              <a:rect l="T15" t="T16" r="T17" b="T18"/>
              <a:pathLst>
                <a:path w="191" h="130">
                  <a:moveTo>
                    <a:pt x="0" y="106"/>
                  </a:moveTo>
                  <a:lnTo>
                    <a:pt x="191" y="0"/>
                  </a:lnTo>
                  <a:lnTo>
                    <a:pt x="191" y="24"/>
                  </a:lnTo>
                  <a:lnTo>
                    <a:pt x="0" y="130"/>
                  </a:lnTo>
                  <a:lnTo>
                    <a:pt x="0" y="106"/>
                  </a:lnTo>
                  <a:close/>
                </a:path>
              </a:pathLst>
            </a:custGeom>
            <a:gradFill rotWithShape="1">
              <a:gsLst>
                <a:gs pos="0">
                  <a:srgbClr val="FFFFFF"/>
                </a:gs>
                <a:gs pos="100000">
                  <a:srgbClr val="C0C0C0"/>
                </a:gs>
              </a:gsLst>
              <a:lin ang="2700000" scaled="1"/>
            </a:gradFill>
            <a:ln w="9525">
              <a:solidFill>
                <a:srgbClr val="000000"/>
              </a:solidFill>
              <a:round/>
              <a:headEnd/>
              <a:tailEnd/>
            </a:ln>
          </xdr:spPr>
        </xdr:sp>
        <xdr:sp macro="" textlink="">
          <xdr:nvSpPr>
            <xdr:cNvPr id="10440" name="Freeform 442">
              <a:extLst>
                <a:ext uri="{FF2B5EF4-FFF2-40B4-BE49-F238E27FC236}">
                  <a16:creationId xmlns:a16="http://schemas.microsoft.com/office/drawing/2014/main" id="{00000000-0008-0000-0F00-0000C8280000}"/>
                </a:ext>
              </a:extLst>
            </xdr:cNvPr>
            <xdr:cNvSpPr>
              <a:spLocks/>
            </xdr:cNvSpPr>
          </xdr:nvSpPr>
          <xdr:spPr bwMode="auto">
            <a:xfrm>
              <a:off x="104" y="543"/>
              <a:ext cx="192" cy="111"/>
            </a:xfrm>
            <a:custGeom>
              <a:avLst/>
              <a:gdLst>
                <a:gd name="T0" fmla="*/ 0 w 192"/>
                <a:gd name="T1" fmla="*/ 107 h 111"/>
                <a:gd name="T2" fmla="*/ 192 w 192"/>
                <a:gd name="T3" fmla="*/ 0 h 111"/>
                <a:gd name="T4" fmla="*/ 192 w 192"/>
                <a:gd name="T5" fmla="*/ 4 h 111"/>
                <a:gd name="T6" fmla="*/ 0 w 192"/>
                <a:gd name="T7" fmla="*/ 111 h 111"/>
                <a:gd name="T8" fmla="*/ 0 w 192"/>
                <a:gd name="T9" fmla="*/ 107 h 111"/>
                <a:gd name="T10" fmla="*/ 0 60000 65536"/>
                <a:gd name="T11" fmla="*/ 0 60000 65536"/>
                <a:gd name="T12" fmla="*/ 0 60000 65536"/>
                <a:gd name="T13" fmla="*/ 0 60000 65536"/>
                <a:gd name="T14" fmla="*/ 0 60000 65536"/>
                <a:gd name="T15" fmla="*/ 0 w 192"/>
                <a:gd name="T16" fmla="*/ 0 h 111"/>
                <a:gd name="T17" fmla="*/ 192 w 192"/>
                <a:gd name="T18" fmla="*/ 111 h 111"/>
              </a:gdLst>
              <a:ahLst/>
              <a:cxnLst>
                <a:cxn ang="T10">
                  <a:pos x="T0" y="T1"/>
                </a:cxn>
                <a:cxn ang="T11">
                  <a:pos x="T2" y="T3"/>
                </a:cxn>
                <a:cxn ang="T12">
                  <a:pos x="T4" y="T5"/>
                </a:cxn>
                <a:cxn ang="T13">
                  <a:pos x="T6" y="T7"/>
                </a:cxn>
                <a:cxn ang="T14">
                  <a:pos x="T8" y="T9"/>
                </a:cxn>
              </a:cxnLst>
              <a:rect l="T15" t="T16" r="T17" b="T18"/>
              <a:pathLst>
                <a:path w="192" h="111">
                  <a:moveTo>
                    <a:pt x="0" y="107"/>
                  </a:moveTo>
                  <a:lnTo>
                    <a:pt x="192" y="0"/>
                  </a:lnTo>
                  <a:lnTo>
                    <a:pt x="192" y="4"/>
                  </a:lnTo>
                  <a:lnTo>
                    <a:pt x="0" y="111"/>
                  </a:lnTo>
                  <a:lnTo>
                    <a:pt x="0" y="107"/>
                  </a:lnTo>
                  <a:close/>
                </a:path>
              </a:pathLst>
            </a:custGeom>
            <a:solidFill>
              <a:srgbClr val="969696"/>
            </a:solidFill>
            <a:ln w="9525">
              <a:solidFill>
                <a:srgbClr val="000000"/>
              </a:solidFill>
              <a:round/>
              <a:headEnd/>
              <a:tailEnd/>
            </a:ln>
          </xdr:spPr>
        </xdr:sp>
        <xdr:sp macro="" textlink="">
          <xdr:nvSpPr>
            <xdr:cNvPr id="10441" name="Freeform 443">
              <a:extLst>
                <a:ext uri="{FF2B5EF4-FFF2-40B4-BE49-F238E27FC236}">
                  <a16:creationId xmlns:a16="http://schemas.microsoft.com/office/drawing/2014/main" id="{00000000-0008-0000-0F00-0000C9280000}"/>
                </a:ext>
              </a:extLst>
            </xdr:cNvPr>
            <xdr:cNvSpPr>
              <a:spLocks/>
            </xdr:cNvSpPr>
          </xdr:nvSpPr>
          <xdr:spPr bwMode="auto">
            <a:xfrm>
              <a:off x="65" y="626"/>
              <a:ext cx="40" cy="28"/>
            </a:xfrm>
            <a:custGeom>
              <a:avLst/>
              <a:gdLst>
                <a:gd name="T0" fmla="*/ 4 w 40"/>
                <a:gd name="T1" fmla="*/ 0 h 28"/>
                <a:gd name="T2" fmla="*/ 4 w 40"/>
                <a:gd name="T3" fmla="*/ 24 h 28"/>
                <a:gd name="T4" fmla="*/ 40 w 40"/>
                <a:gd name="T5" fmla="*/ 24 h 28"/>
                <a:gd name="T6" fmla="*/ 40 w 40"/>
                <a:gd name="T7" fmla="*/ 28 h 28"/>
                <a:gd name="T8" fmla="*/ 0 w 40"/>
                <a:gd name="T9" fmla="*/ 28 h 28"/>
                <a:gd name="T10" fmla="*/ 0 w 40"/>
                <a:gd name="T11" fmla="*/ 0 h 28"/>
                <a:gd name="T12" fmla="*/ 4 w 40"/>
                <a:gd name="T13" fmla="*/ 0 h 28"/>
                <a:gd name="T14" fmla="*/ 0 60000 65536"/>
                <a:gd name="T15" fmla="*/ 0 60000 65536"/>
                <a:gd name="T16" fmla="*/ 0 60000 65536"/>
                <a:gd name="T17" fmla="*/ 0 60000 65536"/>
                <a:gd name="T18" fmla="*/ 0 60000 65536"/>
                <a:gd name="T19" fmla="*/ 0 60000 65536"/>
                <a:gd name="T20" fmla="*/ 0 60000 65536"/>
                <a:gd name="T21" fmla="*/ 0 w 40"/>
                <a:gd name="T22" fmla="*/ 0 h 28"/>
                <a:gd name="T23" fmla="*/ 40 w 40"/>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0" h="28">
                  <a:moveTo>
                    <a:pt x="4" y="0"/>
                  </a:moveTo>
                  <a:lnTo>
                    <a:pt x="4" y="24"/>
                  </a:lnTo>
                  <a:lnTo>
                    <a:pt x="40" y="24"/>
                  </a:lnTo>
                  <a:lnTo>
                    <a:pt x="40" y="28"/>
                  </a:lnTo>
                  <a:lnTo>
                    <a:pt x="0" y="28"/>
                  </a:lnTo>
                  <a:lnTo>
                    <a:pt x="0" y="0"/>
                  </a:lnTo>
                  <a:lnTo>
                    <a:pt x="4" y="0"/>
                  </a:lnTo>
                  <a:close/>
                </a:path>
              </a:pathLst>
            </a:custGeom>
            <a:solidFill>
              <a:srgbClr val="969696"/>
            </a:solidFill>
            <a:ln w="9525">
              <a:solidFill>
                <a:srgbClr val="000000"/>
              </a:solidFill>
              <a:round/>
              <a:headEnd/>
              <a:tailEnd/>
            </a:ln>
          </xdr:spPr>
        </xdr:sp>
        <xdr:sp macro="" textlink="">
          <xdr:nvSpPr>
            <xdr:cNvPr id="10442" name="Rectangle 444">
              <a:extLst>
                <a:ext uri="{FF2B5EF4-FFF2-40B4-BE49-F238E27FC236}">
                  <a16:creationId xmlns:a16="http://schemas.microsoft.com/office/drawing/2014/main" id="{00000000-0008-0000-0F00-0000CA280000}"/>
                </a:ext>
              </a:extLst>
            </xdr:cNvPr>
            <xdr:cNvSpPr>
              <a:spLocks noChangeArrowheads="1"/>
            </xdr:cNvSpPr>
          </xdr:nvSpPr>
          <xdr:spPr bwMode="auto">
            <a:xfrm>
              <a:off x="45" y="159"/>
              <a:ext cx="41" cy="473"/>
            </a:xfrm>
            <a:prstGeom prst="rect">
              <a:avLst/>
            </a:prstGeom>
            <a:solidFill>
              <a:srgbClr val="69FFFF"/>
            </a:solidFill>
            <a:ln w="19050">
              <a:solidFill>
                <a:srgbClr val="000000"/>
              </a:solidFill>
              <a:miter lim="800000"/>
              <a:headEnd/>
              <a:tailEnd/>
            </a:ln>
          </xdr:spPr>
        </xdr:sp>
        <xdr:sp macro="" textlink="">
          <xdr:nvSpPr>
            <xdr:cNvPr id="10443" name="Line 445">
              <a:extLst>
                <a:ext uri="{FF2B5EF4-FFF2-40B4-BE49-F238E27FC236}">
                  <a16:creationId xmlns:a16="http://schemas.microsoft.com/office/drawing/2014/main" id="{00000000-0008-0000-0F00-0000CB280000}"/>
                </a:ext>
              </a:extLst>
            </xdr:cNvPr>
            <xdr:cNvSpPr>
              <a:spLocks noChangeShapeType="1"/>
            </xdr:cNvSpPr>
          </xdr:nvSpPr>
          <xdr:spPr bwMode="auto">
            <a:xfrm flipH="1">
              <a:off x="297" y="120"/>
              <a:ext cx="0" cy="324"/>
            </a:xfrm>
            <a:prstGeom prst="line">
              <a:avLst/>
            </a:prstGeom>
            <a:noFill/>
            <a:ln w="19050">
              <a:solidFill>
                <a:srgbClr val="000000"/>
              </a:solidFill>
              <a:round/>
              <a:headEnd/>
              <a:tailEnd/>
            </a:ln>
          </xdr:spPr>
        </xdr:sp>
        <xdr:sp macro="" textlink="">
          <xdr:nvSpPr>
            <xdr:cNvPr id="10444" name="Line 446">
              <a:extLst>
                <a:ext uri="{FF2B5EF4-FFF2-40B4-BE49-F238E27FC236}">
                  <a16:creationId xmlns:a16="http://schemas.microsoft.com/office/drawing/2014/main" id="{00000000-0008-0000-0F00-0000CC280000}"/>
                </a:ext>
              </a:extLst>
            </xdr:cNvPr>
            <xdr:cNvSpPr>
              <a:spLocks noChangeShapeType="1"/>
            </xdr:cNvSpPr>
          </xdr:nvSpPr>
          <xdr:spPr bwMode="auto">
            <a:xfrm>
              <a:off x="44" y="158"/>
              <a:ext cx="0" cy="0"/>
            </a:xfrm>
            <a:prstGeom prst="line">
              <a:avLst/>
            </a:prstGeom>
            <a:noFill/>
            <a:ln w="9525">
              <a:solidFill>
                <a:srgbClr val="000000"/>
              </a:solidFill>
              <a:round/>
              <a:headEnd/>
              <a:tailEnd/>
            </a:ln>
          </xdr:spPr>
        </xdr:sp>
        <xdr:sp macro="" textlink="">
          <xdr:nvSpPr>
            <xdr:cNvPr id="10445" name="Line 447">
              <a:extLst>
                <a:ext uri="{FF2B5EF4-FFF2-40B4-BE49-F238E27FC236}">
                  <a16:creationId xmlns:a16="http://schemas.microsoft.com/office/drawing/2014/main" id="{00000000-0008-0000-0F00-0000CD280000}"/>
                </a:ext>
              </a:extLst>
            </xdr:cNvPr>
            <xdr:cNvSpPr>
              <a:spLocks noChangeShapeType="1"/>
            </xdr:cNvSpPr>
          </xdr:nvSpPr>
          <xdr:spPr bwMode="auto">
            <a:xfrm flipV="1">
              <a:off x="45" y="41"/>
              <a:ext cx="214" cy="118"/>
            </a:xfrm>
            <a:prstGeom prst="line">
              <a:avLst/>
            </a:prstGeom>
            <a:noFill/>
            <a:ln w="19050">
              <a:solidFill>
                <a:srgbClr val="000000"/>
              </a:solidFill>
              <a:round/>
              <a:headEnd/>
              <a:tailEnd/>
            </a:ln>
          </xdr:spPr>
        </xdr:sp>
        <xdr:grpSp>
          <xdr:nvGrpSpPr>
            <xdr:cNvPr id="10446" name="Group 448">
              <a:extLst>
                <a:ext uri="{FF2B5EF4-FFF2-40B4-BE49-F238E27FC236}">
                  <a16:creationId xmlns:a16="http://schemas.microsoft.com/office/drawing/2014/main" id="{00000000-0008-0000-0F00-0000CE280000}"/>
                </a:ext>
              </a:extLst>
            </xdr:cNvPr>
            <xdr:cNvGrpSpPr>
              <a:grpSpLocks/>
            </xdr:cNvGrpSpPr>
          </xdr:nvGrpSpPr>
          <xdr:grpSpPr bwMode="auto">
            <a:xfrm>
              <a:off x="15" y="22"/>
              <a:ext cx="236" cy="135"/>
              <a:chOff x="15" y="71"/>
              <a:chExt cx="236" cy="135"/>
            </a:xfrm>
          </xdr:grpSpPr>
          <xdr:sp macro="" textlink="">
            <xdr:nvSpPr>
              <xdr:cNvPr id="10448" name="Freeform 449">
                <a:extLst>
                  <a:ext uri="{FF2B5EF4-FFF2-40B4-BE49-F238E27FC236}">
                    <a16:creationId xmlns:a16="http://schemas.microsoft.com/office/drawing/2014/main" id="{00000000-0008-0000-0F00-0000D0280000}"/>
                  </a:ext>
                </a:extLst>
              </xdr:cNvPr>
              <xdr:cNvSpPr>
                <a:spLocks/>
              </xdr:cNvSpPr>
            </xdr:nvSpPr>
            <xdr:spPr bwMode="auto">
              <a:xfrm>
                <a:off x="59" y="71"/>
                <a:ext cx="192" cy="134"/>
              </a:xfrm>
              <a:custGeom>
                <a:avLst/>
                <a:gdLst>
                  <a:gd name="T0" fmla="*/ 0 w 192"/>
                  <a:gd name="T1" fmla="*/ 107 h 134"/>
                  <a:gd name="T2" fmla="*/ 192 w 192"/>
                  <a:gd name="T3" fmla="*/ 0 h 134"/>
                  <a:gd name="T4" fmla="*/ 192 w 192"/>
                  <a:gd name="T5" fmla="*/ 28 h 134"/>
                  <a:gd name="T6" fmla="*/ 0 w 192"/>
                  <a:gd name="T7" fmla="*/ 134 h 134"/>
                  <a:gd name="T8" fmla="*/ 0 w 192"/>
                  <a:gd name="T9" fmla="*/ 107 h 134"/>
                  <a:gd name="T10" fmla="*/ 0 60000 65536"/>
                  <a:gd name="T11" fmla="*/ 0 60000 65536"/>
                  <a:gd name="T12" fmla="*/ 0 60000 65536"/>
                  <a:gd name="T13" fmla="*/ 0 60000 65536"/>
                  <a:gd name="T14" fmla="*/ 0 60000 65536"/>
                  <a:gd name="T15" fmla="*/ 0 w 192"/>
                  <a:gd name="T16" fmla="*/ 0 h 134"/>
                  <a:gd name="T17" fmla="*/ 192 w 192"/>
                  <a:gd name="T18" fmla="*/ 134 h 134"/>
                </a:gdLst>
                <a:ahLst/>
                <a:cxnLst>
                  <a:cxn ang="T10">
                    <a:pos x="T0" y="T1"/>
                  </a:cxn>
                  <a:cxn ang="T11">
                    <a:pos x="T2" y="T3"/>
                  </a:cxn>
                  <a:cxn ang="T12">
                    <a:pos x="T4" y="T5"/>
                  </a:cxn>
                  <a:cxn ang="T13">
                    <a:pos x="T6" y="T7"/>
                  </a:cxn>
                  <a:cxn ang="T14">
                    <a:pos x="T8" y="T9"/>
                  </a:cxn>
                </a:cxnLst>
                <a:rect l="T15" t="T16" r="T17" b="T18"/>
                <a:pathLst>
                  <a:path w="192" h="134">
                    <a:moveTo>
                      <a:pt x="0" y="107"/>
                    </a:moveTo>
                    <a:lnTo>
                      <a:pt x="192" y="0"/>
                    </a:lnTo>
                    <a:lnTo>
                      <a:pt x="192" y="28"/>
                    </a:lnTo>
                    <a:lnTo>
                      <a:pt x="0" y="134"/>
                    </a:lnTo>
                    <a:lnTo>
                      <a:pt x="0" y="107"/>
                    </a:lnTo>
                    <a:close/>
                  </a:path>
                </a:pathLst>
              </a:custGeom>
              <a:gradFill rotWithShape="1">
                <a:gsLst>
                  <a:gs pos="0">
                    <a:srgbClr val="C0C0C0"/>
                  </a:gs>
                  <a:gs pos="100000">
                    <a:srgbClr val="FFFFFF"/>
                  </a:gs>
                </a:gsLst>
                <a:lin ang="2700000" scaled="1"/>
              </a:gradFill>
              <a:ln w="9525">
                <a:solidFill>
                  <a:srgbClr val="000000"/>
                </a:solidFill>
                <a:round/>
                <a:headEnd/>
                <a:tailEnd/>
              </a:ln>
            </xdr:spPr>
          </xdr:sp>
          <xdr:sp macro="" textlink="">
            <xdr:nvSpPr>
              <xdr:cNvPr id="10449" name="Freeform 450">
                <a:extLst>
                  <a:ext uri="{FF2B5EF4-FFF2-40B4-BE49-F238E27FC236}">
                    <a16:creationId xmlns:a16="http://schemas.microsoft.com/office/drawing/2014/main" id="{00000000-0008-0000-0F00-0000D1280000}"/>
                  </a:ext>
                </a:extLst>
              </xdr:cNvPr>
              <xdr:cNvSpPr>
                <a:spLocks/>
              </xdr:cNvSpPr>
            </xdr:nvSpPr>
            <xdr:spPr bwMode="auto">
              <a:xfrm>
                <a:off x="15" y="71"/>
                <a:ext cx="236" cy="107"/>
              </a:xfrm>
              <a:custGeom>
                <a:avLst/>
                <a:gdLst>
                  <a:gd name="T0" fmla="*/ 44 w 236"/>
                  <a:gd name="T1" fmla="*/ 107 h 107"/>
                  <a:gd name="T2" fmla="*/ 0 w 236"/>
                  <a:gd name="T3" fmla="*/ 107 h 107"/>
                  <a:gd name="T4" fmla="*/ 195 w 236"/>
                  <a:gd name="T5" fmla="*/ 0 h 107"/>
                  <a:gd name="T6" fmla="*/ 236 w 236"/>
                  <a:gd name="T7" fmla="*/ 0 h 107"/>
                  <a:gd name="T8" fmla="*/ 44 w 236"/>
                  <a:gd name="T9" fmla="*/ 107 h 107"/>
                  <a:gd name="T10" fmla="*/ 0 60000 65536"/>
                  <a:gd name="T11" fmla="*/ 0 60000 65536"/>
                  <a:gd name="T12" fmla="*/ 0 60000 65536"/>
                  <a:gd name="T13" fmla="*/ 0 60000 65536"/>
                  <a:gd name="T14" fmla="*/ 0 60000 65536"/>
                  <a:gd name="T15" fmla="*/ 0 w 236"/>
                  <a:gd name="T16" fmla="*/ 0 h 107"/>
                  <a:gd name="T17" fmla="*/ 236 w 236"/>
                  <a:gd name="T18" fmla="*/ 107 h 107"/>
                </a:gdLst>
                <a:ahLst/>
                <a:cxnLst>
                  <a:cxn ang="T10">
                    <a:pos x="T0" y="T1"/>
                  </a:cxn>
                  <a:cxn ang="T11">
                    <a:pos x="T2" y="T3"/>
                  </a:cxn>
                  <a:cxn ang="T12">
                    <a:pos x="T4" y="T5"/>
                  </a:cxn>
                  <a:cxn ang="T13">
                    <a:pos x="T6" y="T7"/>
                  </a:cxn>
                  <a:cxn ang="T14">
                    <a:pos x="T8" y="T9"/>
                  </a:cxn>
                </a:cxnLst>
                <a:rect l="T15" t="T16" r="T17" b="T18"/>
                <a:pathLst>
                  <a:path w="236" h="107">
                    <a:moveTo>
                      <a:pt x="44" y="107"/>
                    </a:moveTo>
                    <a:lnTo>
                      <a:pt x="0" y="107"/>
                    </a:lnTo>
                    <a:lnTo>
                      <a:pt x="195" y="0"/>
                    </a:lnTo>
                    <a:lnTo>
                      <a:pt x="236" y="0"/>
                    </a:lnTo>
                    <a:lnTo>
                      <a:pt x="44"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450" name="Freeform 451">
                <a:extLst>
                  <a:ext uri="{FF2B5EF4-FFF2-40B4-BE49-F238E27FC236}">
                    <a16:creationId xmlns:a16="http://schemas.microsoft.com/office/drawing/2014/main" id="{00000000-0008-0000-0F00-0000D2280000}"/>
                  </a:ext>
                </a:extLst>
              </xdr:cNvPr>
              <xdr:cNvSpPr>
                <a:spLocks/>
              </xdr:cNvSpPr>
            </xdr:nvSpPr>
            <xdr:spPr bwMode="auto">
              <a:xfrm>
                <a:off x="15" y="178"/>
                <a:ext cx="45" cy="28"/>
              </a:xfrm>
              <a:custGeom>
                <a:avLst/>
                <a:gdLst>
                  <a:gd name="T0" fmla="*/ 41 w 45"/>
                  <a:gd name="T1" fmla="*/ 28 h 28"/>
                  <a:gd name="T2" fmla="*/ 41 w 45"/>
                  <a:gd name="T3" fmla="*/ 3 h 28"/>
                  <a:gd name="T4" fmla="*/ 0 w 45"/>
                  <a:gd name="T5" fmla="*/ 3 h 28"/>
                  <a:gd name="T6" fmla="*/ 0 w 45"/>
                  <a:gd name="T7" fmla="*/ 0 h 28"/>
                  <a:gd name="T8" fmla="*/ 45 w 45"/>
                  <a:gd name="T9" fmla="*/ 0 h 28"/>
                  <a:gd name="T10" fmla="*/ 45 w 45"/>
                  <a:gd name="T11" fmla="*/ 28 h 28"/>
                  <a:gd name="T12" fmla="*/ 41 w 45"/>
                  <a:gd name="T13" fmla="*/ 28 h 28"/>
                  <a:gd name="T14" fmla="*/ 0 60000 65536"/>
                  <a:gd name="T15" fmla="*/ 0 60000 65536"/>
                  <a:gd name="T16" fmla="*/ 0 60000 65536"/>
                  <a:gd name="T17" fmla="*/ 0 60000 65536"/>
                  <a:gd name="T18" fmla="*/ 0 60000 65536"/>
                  <a:gd name="T19" fmla="*/ 0 60000 65536"/>
                  <a:gd name="T20" fmla="*/ 0 60000 65536"/>
                  <a:gd name="T21" fmla="*/ 0 w 45"/>
                  <a:gd name="T22" fmla="*/ 0 h 28"/>
                  <a:gd name="T23" fmla="*/ 45 w 45"/>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5" h="28">
                    <a:moveTo>
                      <a:pt x="41" y="28"/>
                    </a:moveTo>
                    <a:lnTo>
                      <a:pt x="41" y="3"/>
                    </a:lnTo>
                    <a:lnTo>
                      <a:pt x="0" y="3"/>
                    </a:lnTo>
                    <a:lnTo>
                      <a:pt x="0" y="0"/>
                    </a:lnTo>
                    <a:lnTo>
                      <a:pt x="45" y="0"/>
                    </a:lnTo>
                    <a:lnTo>
                      <a:pt x="45" y="28"/>
                    </a:lnTo>
                    <a:lnTo>
                      <a:pt x="41" y="28"/>
                    </a:lnTo>
                    <a:close/>
                  </a:path>
                </a:pathLst>
              </a:custGeom>
              <a:solidFill>
                <a:srgbClr val="969696"/>
              </a:solidFill>
              <a:ln w="9525">
                <a:solidFill>
                  <a:srgbClr val="000000"/>
                </a:solidFill>
                <a:round/>
                <a:headEnd/>
                <a:tailEnd/>
              </a:ln>
            </xdr:spPr>
          </xdr:sp>
        </xdr:grpSp>
        <xdr:sp macro="" textlink="">
          <xdr:nvSpPr>
            <xdr:cNvPr id="10447" name="Freeform 452">
              <a:extLst>
                <a:ext uri="{FF2B5EF4-FFF2-40B4-BE49-F238E27FC236}">
                  <a16:creationId xmlns:a16="http://schemas.microsoft.com/office/drawing/2014/main" id="{00000000-0008-0000-0F00-0000CF280000}"/>
                </a:ext>
              </a:extLst>
            </xdr:cNvPr>
            <xdr:cNvSpPr>
              <a:spLocks/>
            </xdr:cNvSpPr>
          </xdr:nvSpPr>
          <xdr:spPr bwMode="auto">
            <a:xfrm>
              <a:off x="96" y="89"/>
              <a:ext cx="197" cy="494"/>
            </a:xfrm>
            <a:custGeom>
              <a:avLst/>
              <a:gdLst>
                <a:gd name="T0" fmla="*/ 0 w 197"/>
                <a:gd name="T1" fmla="*/ 188 h 494"/>
                <a:gd name="T2" fmla="*/ 0 w 197"/>
                <a:gd name="T3" fmla="*/ 172 h 494"/>
                <a:gd name="T4" fmla="*/ 0 w 197"/>
                <a:gd name="T5" fmla="*/ 121 h 494"/>
                <a:gd name="T6" fmla="*/ 1 w 197"/>
                <a:gd name="T7" fmla="*/ 109 h 494"/>
                <a:gd name="T8" fmla="*/ 8 w 197"/>
                <a:gd name="T9" fmla="*/ 106 h 494"/>
                <a:gd name="T10" fmla="*/ 23 w 197"/>
                <a:gd name="T11" fmla="*/ 97 h 494"/>
                <a:gd name="T12" fmla="*/ 77 w 197"/>
                <a:gd name="T13" fmla="*/ 67 h 494"/>
                <a:gd name="T14" fmla="*/ 120 w 197"/>
                <a:gd name="T15" fmla="*/ 42 h 494"/>
                <a:gd name="T16" fmla="*/ 146 w 197"/>
                <a:gd name="T17" fmla="*/ 27 h 494"/>
                <a:gd name="T18" fmla="*/ 172 w 197"/>
                <a:gd name="T19" fmla="*/ 13 h 494"/>
                <a:gd name="T20" fmla="*/ 186 w 197"/>
                <a:gd name="T21" fmla="*/ 4 h 494"/>
                <a:gd name="T22" fmla="*/ 194 w 197"/>
                <a:gd name="T23" fmla="*/ 0 h 494"/>
                <a:gd name="T24" fmla="*/ 197 w 197"/>
                <a:gd name="T25" fmla="*/ 0 h 494"/>
                <a:gd name="T26" fmla="*/ 196 w 197"/>
                <a:gd name="T27" fmla="*/ 72 h 494"/>
                <a:gd name="T28" fmla="*/ 196 w 197"/>
                <a:gd name="T29" fmla="*/ 343 h 494"/>
                <a:gd name="T30" fmla="*/ 196 w 197"/>
                <a:gd name="T31" fmla="*/ 393 h 494"/>
                <a:gd name="T32" fmla="*/ 190 w 197"/>
                <a:gd name="T33" fmla="*/ 397 h 494"/>
                <a:gd name="T34" fmla="*/ 18 w 197"/>
                <a:gd name="T35" fmla="*/ 491 h 494"/>
                <a:gd name="T36" fmla="*/ 5 w 197"/>
                <a:gd name="T37" fmla="*/ 494 h 494"/>
                <a:gd name="T38" fmla="*/ 1 w 197"/>
                <a:gd name="T39" fmla="*/ 492 h 494"/>
                <a:gd name="T40" fmla="*/ 0 w 197"/>
                <a:gd name="T41" fmla="*/ 188 h 494"/>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97"/>
                <a:gd name="T64" fmla="*/ 0 h 494"/>
                <a:gd name="T65" fmla="*/ 197 w 197"/>
                <a:gd name="T66" fmla="*/ 494 h 494"/>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97" h="494">
                  <a:moveTo>
                    <a:pt x="0" y="188"/>
                  </a:moveTo>
                  <a:lnTo>
                    <a:pt x="0" y="172"/>
                  </a:lnTo>
                  <a:lnTo>
                    <a:pt x="0" y="121"/>
                  </a:lnTo>
                  <a:lnTo>
                    <a:pt x="1" y="109"/>
                  </a:lnTo>
                  <a:lnTo>
                    <a:pt x="8" y="106"/>
                  </a:lnTo>
                  <a:lnTo>
                    <a:pt x="23" y="97"/>
                  </a:lnTo>
                  <a:lnTo>
                    <a:pt x="77" y="67"/>
                  </a:lnTo>
                  <a:lnTo>
                    <a:pt x="120" y="42"/>
                  </a:lnTo>
                  <a:lnTo>
                    <a:pt x="146" y="27"/>
                  </a:lnTo>
                  <a:lnTo>
                    <a:pt x="172" y="13"/>
                  </a:lnTo>
                  <a:lnTo>
                    <a:pt x="186" y="4"/>
                  </a:lnTo>
                  <a:lnTo>
                    <a:pt x="194" y="0"/>
                  </a:lnTo>
                  <a:lnTo>
                    <a:pt x="197" y="0"/>
                  </a:lnTo>
                  <a:lnTo>
                    <a:pt x="196" y="72"/>
                  </a:lnTo>
                  <a:lnTo>
                    <a:pt x="196" y="343"/>
                  </a:lnTo>
                  <a:lnTo>
                    <a:pt x="196" y="393"/>
                  </a:lnTo>
                  <a:lnTo>
                    <a:pt x="190" y="397"/>
                  </a:lnTo>
                  <a:lnTo>
                    <a:pt x="18" y="491"/>
                  </a:lnTo>
                  <a:lnTo>
                    <a:pt x="5" y="494"/>
                  </a:lnTo>
                  <a:lnTo>
                    <a:pt x="1" y="492"/>
                  </a:lnTo>
                  <a:lnTo>
                    <a:pt x="0" y="188"/>
                  </a:lnTo>
                  <a:close/>
                </a:path>
              </a:pathLst>
            </a:custGeom>
            <a:gradFill rotWithShape="1">
              <a:gsLst>
                <a:gs pos="0">
                  <a:srgbClr val="FFFFFF"/>
                </a:gs>
                <a:gs pos="100000">
                  <a:srgbClr val="69FFFF"/>
                </a:gs>
              </a:gsLst>
              <a:lin ang="2700000" scaled="1"/>
            </a:gradFill>
            <a:ln w="57150" cmpd="sng">
              <a:solidFill>
                <a:srgbClr val="A6CAF0"/>
              </a:solidFill>
              <a:round/>
              <a:headEnd/>
              <a:tailEnd/>
            </a:ln>
          </xdr:spPr>
        </xdr:sp>
      </xdr:grpSp>
      <xdr:sp macro="" textlink="">
        <xdr:nvSpPr>
          <xdr:cNvPr id="119238" name="Text Box 454">
            <a:extLst>
              <a:ext uri="{FF2B5EF4-FFF2-40B4-BE49-F238E27FC236}">
                <a16:creationId xmlns:a16="http://schemas.microsoft.com/office/drawing/2014/main" id="{00000000-0008-0000-0F00-0000C6D10100}"/>
              </a:ext>
            </a:extLst>
          </xdr:cNvPr>
          <xdr:cNvSpPr txBox="1">
            <a:spLocks noChangeArrowheads="1"/>
          </xdr:cNvSpPr>
        </xdr:nvSpPr>
        <xdr:spPr bwMode="auto">
          <a:xfrm>
            <a:off x="7448550" y="428625"/>
            <a:ext cx="2828925" cy="428625"/>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Cell Cross-Sections</a:t>
            </a:r>
          </a:p>
        </xdr:txBody>
      </xdr:sp>
      <xdr:grpSp>
        <xdr:nvGrpSpPr>
          <xdr:cNvPr id="10277" name="Group 455">
            <a:extLst>
              <a:ext uri="{FF2B5EF4-FFF2-40B4-BE49-F238E27FC236}">
                <a16:creationId xmlns:a16="http://schemas.microsoft.com/office/drawing/2014/main" id="{00000000-0008-0000-0F00-000025280000}"/>
              </a:ext>
            </a:extLst>
          </xdr:cNvPr>
          <xdr:cNvGrpSpPr>
            <a:grpSpLocks/>
          </xdr:cNvGrpSpPr>
        </xdr:nvGrpSpPr>
        <xdr:grpSpPr bwMode="auto">
          <a:xfrm>
            <a:off x="7486650" y="1238250"/>
            <a:ext cx="2838450" cy="352425"/>
            <a:chOff x="87" y="208"/>
            <a:chExt cx="298" cy="37"/>
          </a:xfrm>
        </xdr:grpSpPr>
        <xdr:sp macro="" textlink="">
          <xdr:nvSpPr>
            <xdr:cNvPr id="10415" name="Freeform 456">
              <a:extLst>
                <a:ext uri="{FF2B5EF4-FFF2-40B4-BE49-F238E27FC236}">
                  <a16:creationId xmlns:a16="http://schemas.microsoft.com/office/drawing/2014/main" id="{00000000-0008-0000-0F00-0000AF280000}"/>
                </a:ext>
              </a:extLst>
            </xdr:cNvPr>
            <xdr:cNvSpPr>
              <a:spLocks/>
            </xdr:cNvSpPr>
          </xdr:nvSpPr>
          <xdr:spPr bwMode="auto">
            <a:xfrm>
              <a:off x="90" y="208"/>
              <a:ext cx="148" cy="31"/>
            </a:xfrm>
            <a:custGeom>
              <a:avLst/>
              <a:gdLst>
                <a:gd name="T0" fmla="*/ 0 w 148"/>
                <a:gd name="T1" fmla="*/ 10 h 31"/>
                <a:gd name="T2" fmla="*/ 9 w 148"/>
                <a:gd name="T3" fmla="*/ 21 h 31"/>
                <a:gd name="T4" fmla="*/ 13 w 148"/>
                <a:gd name="T5" fmla="*/ 27 h 31"/>
                <a:gd name="T6" fmla="*/ 16 w 148"/>
                <a:gd name="T7" fmla="*/ 30 h 31"/>
                <a:gd name="T8" fmla="*/ 21 w 148"/>
                <a:gd name="T9" fmla="*/ 31 h 31"/>
                <a:gd name="T10" fmla="*/ 20 w 148"/>
                <a:gd name="T11" fmla="*/ 7 h 31"/>
                <a:gd name="T12" fmla="*/ 22 w 148"/>
                <a:gd name="T13" fmla="*/ 2 h 31"/>
                <a:gd name="T14" fmla="*/ 27 w 148"/>
                <a:gd name="T15" fmla="*/ 0 h 31"/>
                <a:gd name="T16" fmla="*/ 148 w 148"/>
                <a:gd name="T17" fmla="*/ 0 h 3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8"/>
                <a:gd name="T28" fmla="*/ 0 h 31"/>
                <a:gd name="T29" fmla="*/ 148 w 148"/>
                <a:gd name="T30" fmla="*/ 31 h 3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8" h="31">
                  <a:moveTo>
                    <a:pt x="0" y="10"/>
                  </a:moveTo>
                  <a:lnTo>
                    <a:pt x="9" y="21"/>
                  </a:lnTo>
                  <a:lnTo>
                    <a:pt x="13" y="27"/>
                  </a:lnTo>
                  <a:lnTo>
                    <a:pt x="16" y="30"/>
                  </a:lnTo>
                  <a:lnTo>
                    <a:pt x="21" y="31"/>
                  </a:lnTo>
                  <a:lnTo>
                    <a:pt x="20" y="7"/>
                  </a:lnTo>
                  <a:lnTo>
                    <a:pt x="22" y="2"/>
                  </a:lnTo>
                  <a:lnTo>
                    <a:pt x="27" y="0"/>
                  </a:lnTo>
                  <a:lnTo>
                    <a:pt x="148" y="0"/>
                  </a:lnTo>
                </a:path>
              </a:pathLst>
            </a:custGeom>
            <a:noFill/>
            <a:ln w="28575" cmpd="sng">
              <a:solidFill>
                <a:srgbClr val="0000FF"/>
              </a:solidFill>
              <a:round/>
              <a:headEnd/>
              <a:tailEnd/>
            </a:ln>
          </xdr:spPr>
        </xdr:sp>
        <xdr:sp macro="" textlink="">
          <xdr:nvSpPr>
            <xdr:cNvPr id="10416" name="Rectangle 457" descr="Light horizontal">
              <a:extLst>
                <a:ext uri="{FF2B5EF4-FFF2-40B4-BE49-F238E27FC236}">
                  <a16:creationId xmlns:a16="http://schemas.microsoft.com/office/drawing/2014/main" id="{00000000-0008-0000-0F00-0000B0280000}"/>
                </a:ext>
              </a:extLst>
            </xdr:cNvPr>
            <xdr:cNvSpPr>
              <a:spLocks noChangeArrowheads="1"/>
            </xdr:cNvSpPr>
          </xdr:nvSpPr>
          <xdr:spPr bwMode="auto">
            <a:xfrm>
              <a:off x="113" y="210"/>
              <a:ext cx="246" cy="33"/>
            </a:xfrm>
            <a:prstGeom prst="rect">
              <a:avLst/>
            </a:prstGeom>
            <a:pattFill prst="ltHorz">
              <a:fgClr>
                <a:srgbClr val="000000"/>
              </a:fgClr>
              <a:bgClr>
                <a:srgbClr val="FFFFFF"/>
              </a:bgClr>
            </a:pattFill>
            <a:ln w="9525">
              <a:solidFill>
                <a:srgbClr val="000000"/>
              </a:solidFill>
              <a:miter lim="800000"/>
              <a:headEnd/>
              <a:tailEnd/>
            </a:ln>
          </xdr:spPr>
        </xdr:sp>
        <xdr:sp macro="" textlink="">
          <xdr:nvSpPr>
            <xdr:cNvPr id="10417" name="Freeform 458">
              <a:extLst>
                <a:ext uri="{FF2B5EF4-FFF2-40B4-BE49-F238E27FC236}">
                  <a16:creationId xmlns:a16="http://schemas.microsoft.com/office/drawing/2014/main" id="{00000000-0008-0000-0F00-0000B1280000}"/>
                </a:ext>
              </a:extLst>
            </xdr:cNvPr>
            <xdr:cNvSpPr>
              <a:spLocks/>
            </xdr:cNvSpPr>
          </xdr:nvSpPr>
          <xdr:spPr bwMode="auto">
            <a:xfrm>
              <a:off x="87" y="219"/>
              <a:ext cx="149" cy="26"/>
            </a:xfrm>
            <a:custGeom>
              <a:avLst/>
              <a:gdLst>
                <a:gd name="T0" fmla="*/ 0 w 149"/>
                <a:gd name="T1" fmla="*/ 0 h 26"/>
                <a:gd name="T2" fmla="*/ 18 w 149"/>
                <a:gd name="T3" fmla="*/ 22 h 26"/>
                <a:gd name="T4" fmla="*/ 23 w 149"/>
                <a:gd name="T5" fmla="*/ 26 h 26"/>
                <a:gd name="T6" fmla="*/ 30 w 149"/>
                <a:gd name="T7" fmla="*/ 26 h 26"/>
                <a:gd name="T8" fmla="*/ 149 w 149"/>
                <a:gd name="T9" fmla="*/ 26 h 26"/>
                <a:gd name="T10" fmla="*/ 0 60000 65536"/>
                <a:gd name="T11" fmla="*/ 0 60000 65536"/>
                <a:gd name="T12" fmla="*/ 0 60000 65536"/>
                <a:gd name="T13" fmla="*/ 0 60000 65536"/>
                <a:gd name="T14" fmla="*/ 0 60000 65536"/>
                <a:gd name="T15" fmla="*/ 0 w 149"/>
                <a:gd name="T16" fmla="*/ 0 h 26"/>
                <a:gd name="T17" fmla="*/ 149 w 149"/>
                <a:gd name="T18" fmla="*/ 26 h 26"/>
              </a:gdLst>
              <a:ahLst/>
              <a:cxnLst>
                <a:cxn ang="T10">
                  <a:pos x="T0" y="T1"/>
                </a:cxn>
                <a:cxn ang="T11">
                  <a:pos x="T2" y="T3"/>
                </a:cxn>
                <a:cxn ang="T12">
                  <a:pos x="T4" y="T5"/>
                </a:cxn>
                <a:cxn ang="T13">
                  <a:pos x="T6" y="T7"/>
                </a:cxn>
                <a:cxn ang="T14">
                  <a:pos x="T8" y="T9"/>
                </a:cxn>
              </a:cxnLst>
              <a:rect l="T15" t="T16" r="T17" b="T18"/>
              <a:pathLst>
                <a:path w="149" h="26">
                  <a:moveTo>
                    <a:pt x="0" y="0"/>
                  </a:moveTo>
                  <a:lnTo>
                    <a:pt x="18" y="22"/>
                  </a:lnTo>
                  <a:lnTo>
                    <a:pt x="23" y="26"/>
                  </a:lnTo>
                  <a:lnTo>
                    <a:pt x="30" y="26"/>
                  </a:lnTo>
                  <a:lnTo>
                    <a:pt x="149" y="26"/>
                  </a:lnTo>
                </a:path>
              </a:pathLst>
            </a:custGeom>
            <a:noFill/>
            <a:ln w="28575" cmpd="sng">
              <a:solidFill>
                <a:srgbClr val="0000FF"/>
              </a:solidFill>
              <a:round/>
              <a:headEnd/>
              <a:tailEnd/>
            </a:ln>
          </xdr:spPr>
        </xdr:sp>
        <xdr:sp macro="" textlink="">
          <xdr:nvSpPr>
            <xdr:cNvPr id="10418" name="Freeform 459">
              <a:extLst>
                <a:ext uri="{FF2B5EF4-FFF2-40B4-BE49-F238E27FC236}">
                  <a16:creationId xmlns:a16="http://schemas.microsoft.com/office/drawing/2014/main" id="{00000000-0008-0000-0F00-0000B2280000}"/>
                </a:ext>
              </a:extLst>
            </xdr:cNvPr>
            <xdr:cNvSpPr>
              <a:spLocks/>
            </xdr:cNvSpPr>
          </xdr:nvSpPr>
          <xdr:spPr bwMode="auto">
            <a:xfrm flipH="1">
              <a:off x="236" y="219"/>
              <a:ext cx="149" cy="26"/>
            </a:xfrm>
            <a:custGeom>
              <a:avLst/>
              <a:gdLst>
                <a:gd name="T0" fmla="*/ 0 w 149"/>
                <a:gd name="T1" fmla="*/ 0 h 26"/>
                <a:gd name="T2" fmla="*/ 18 w 149"/>
                <a:gd name="T3" fmla="*/ 22 h 26"/>
                <a:gd name="T4" fmla="*/ 23 w 149"/>
                <a:gd name="T5" fmla="*/ 26 h 26"/>
                <a:gd name="T6" fmla="*/ 30 w 149"/>
                <a:gd name="T7" fmla="*/ 26 h 26"/>
                <a:gd name="T8" fmla="*/ 149 w 149"/>
                <a:gd name="T9" fmla="*/ 26 h 26"/>
                <a:gd name="T10" fmla="*/ 0 60000 65536"/>
                <a:gd name="T11" fmla="*/ 0 60000 65536"/>
                <a:gd name="T12" fmla="*/ 0 60000 65536"/>
                <a:gd name="T13" fmla="*/ 0 60000 65536"/>
                <a:gd name="T14" fmla="*/ 0 60000 65536"/>
                <a:gd name="T15" fmla="*/ 0 w 149"/>
                <a:gd name="T16" fmla="*/ 0 h 26"/>
                <a:gd name="T17" fmla="*/ 149 w 149"/>
                <a:gd name="T18" fmla="*/ 26 h 26"/>
              </a:gdLst>
              <a:ahLst/>
              <a:cxnLst>
                <a:cxn ang="T10">
                  <a:pos x="T0" y="T1"/>
                </a:cxn>
                <a:cxn ang="T11">
                  <a:pos x="T2" y="T3"/>
                </a:cxn>
                <a:cxn ang="T12">
                  <a:pos x="T4" y="T5"/>
                </a:cxn>
                <a:cxn ang="T13">
                  <a:pos x="T6" y="T7"/>
                </a:cxn>
                <a:cxn ang="T14">
                  <a:pos x="T8" y="T9"/>
                </a:cxn>
              </a:cxnLst>
              <a:rect l="T15" t="T16" r="T17" b="T18"/>
              <a:pathLst>
                <a:path w="149" h="26">
                  <a:moveTo>
                    <a:pt x="0" y="0"/>
                  </a:moveTo>
                  <a:lnTo>
                    <a:pt x="18" y="22"/>
                  </a:lnTo>
                  <a:lnTo>
                    <a:pt x="23" y="26"/>
                  </a:lnTo>
                  <a:lnTo>
                    <a:pt x="30" y="26"/>
                  </a:lnTo>
                  <a:lnTo>
                    <a:pt x="149" y="26"/>
                  </a:lnTo>
                </a:path>
              </a:pathLst>
            </a:custGeom>
            <a:noFill/>
            <a:ln w="28575" cmpd="sng">
              <a:solidFill>
                <a:srgbClr val="0000FF"/>
              </a:solidFill>
              <a:round/>
              <a:headEnd/>
              <a:tailEnd/>
            </a:ln>
          </xdr:spPr>
        </xdr:sp>
        <xdr:sp macro="" textlink="">
          <xdr:nvSpPr>
            <xdr:cNvPr id="10419" name="Freeform 460">
              <a:extLst>
                <a:ext uri="{FF2B5EF4-FFF2-40B4-BE49-F238E27FC236}">
                  <a16:creationId xmlns:a16="http://schemas.microsoft.com/office/drawing/2014/main" id="{00000000-0008-0000-0F00-0000B3280000}"/>
                </a:ext>
              </a:extLst>
            </xdr:cNvPr>
            <xdr:cNvSpPr>
              <a:spLocks/>
            </xdr:cNvSpPr>
          </xdr:nvSpPr>
          <xdr:spPr bwMode="auto">
            <a:xfrm flipH="1">
              <a:off x="234" y="208"/>
              <a:ext cx="148" cy="31"/>
            </a:xfrm>
            <a:custGeom>
              <a:avLst/>
              <a:gdLst>
                <a:gd name="T0" fmla="*/ 0 w 148"/>
                <a:gd name="T1" fmla="*/ 10 h 31"/>
                <a:gd name="T2" fmla="*/ 9 w 148"/>
                <a:gd name="T3" fmla="*/ 21 h 31"/>
                <a:gd name="T4" fmla="*/ 13 w 148"/>
                <a:gd name="T5" fmla="*/ 27 h 31"/>
                <a:gd name="T6" fmla="*/ 16 w 148"/>
                <a:gd name="T7" fmla="*/ 30 h 31"/>
                <a:gd name="T8" fmla="*/ 21 w 148"/>
                <a:gd name="T9" fmla="*/ 31 h 31"/>
                <a:gd name="T10" fmla="*/ 20 w 148"/>
                <a:gd name="T11" fmla="*/ 7 h 31"/>
                <a:gd name="T12" fmla="*/ 22 w 148"/>
                <a:gd name="T13" fmla="*/ 2 h 31"/>
                <a:gd name="T14" fmla="*/ 27 w 148"/>
                <a:gd name="T15" fmla="*/ 0 h 31"/>
                <a:gd name="T16" fmla="*/ 148 w 148"/>
                <a:gd name="T17" fmla="*/ 0 h 3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8"/>
                <a:gd name="T28" fmla="*/ 0 h 31"/>
                <a:gd name="T29" fmla="*/ 148 w 148"/>
                <a:gd name="T30" fmla="*/ 31 h 3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8" h="31">
                  <a:moveTo>
                    <a:pt x="0" y="10"/>
                  </a:moveTo>
                  <a:lnTo>
                    <a:pt x="9" y="21"/>
                  </a:lnTo>
                  <a:lnTo>
                    <a:pt x="13" y="27"/>
                  </a:lnTo>
                  <a:lnTo>
                    <a:pt x="16" y="30"/>
                  </a:lnTo>
                  <a:lnTo>
                    <a:pt x="21" y="31"/>
                  </a:lnTo>
                  <a:lnTo>
                    <a:pt x="20" y="7"/>
                  </a:lnTo>
                  <a:lnTo>
                    <a:pt x="22" y="2"/>
                  </a:lnTo>
                  <a:lnTo>
                    <a:pt x="27" y="0"/>
                  </a:lnTo>
                  <a:lnTo>
                    <a:pt x="148" y="0"/>
                  </a:lnTo>
                </a:path>
              </a:pathLst>
            </a:custGeom>
            <a:noFill/>
            <a:ln w="28575" cmpd="sng">
              <a:solidFill>
                <a:srgbClr val="0000FF"/>
              </a:solidFill>
              <a:round/>
              <a:headEnd/>
              <a:tailEnd/>
            </a:ln>
          </xdr:spPr>
        </xdr:sp>
      </xdr:grpSp>
      <xdr:grpSp>
        <xdr:nvGrpSpPr>
          <xdr:cNvPr id="10278" name="Group 461">
            <a:extLst>
              <a:ext uri="{FF2B5EF4-FFF2-40B4-BE49-F238E27FC236}">
                <a16:creationId xmlns:a16="http://schemas.microsoft.com/office/drawing/2014/main" id="{00000000-0008-0000-0F00-000026280000}"/>
              </a:ext>
            </a:extLst>
          </xdr:cNvPr>
          <xdr:cNvGrpSpPr>
            <a:grpSpLocks/>
          </xdr:cNvGrpSpPr>
        </xdr:nvGrpSpPr>
        <xdr:grpSpPr bwMode="auto">
          <a:xfrm>
            <a:off x="7581900" y="2390775"/>
            <a:ext cx="2524125" cy="390525"/>
            <a:chOff x="109" y="387"/>
            <a:chExt cx="265" cy="41"/>
          </a:xfrm>
        </xdr:grpSpPr>
        <xdr:sp macro="" textlink="">
          <xdr:nvSpPr>
            <xdr:cNvPr id="10408" name="Rectangle 462" descr="Light horizontal">
              <a:extLst>
                <a:ext uri="{FF2B5EF4-FFF2-40B4-BE49-F238E27FC236}">
                  <a16:creationId xmlns:a16="http://schemas.microsoft.com/office/drawing/2014/main" id="{00000000-0008-0000-0F00-0000A8280000}"/>
                </a:ext>
              </a:extLst>
            </xdr:cNvPr>
            <xdr:cNvSpPr>
              <a:spLocks noChangeArrowheads="1"/>
            </xdr:cNvSpPr>
          </xdr:nvSpPr>
          <xdr:spPr bwMode="auto">
            <a:xfrm>
              <a:off x="119" y="389"/>
              <a:ext cx="246" cy="33"/>
            </a:xfrm>
            <a:prstGeom prst="rect">
              <a:avLst/>
            </a:prstGeom>
            <a:pattFill prst="ltHorz">
              <a:fgClr>
                <a:srgbClr val="000000"/>
              </a:fgClr>
              <a:bgClr>
                <a:srgbClr val="FFFFFF"/>
              </a:bgClr>
            </a:pattFill>
            <a:ln w="9525">
              <a:solidFill>
                <a:srgbClr val="000000"/>
              </a:solidFill>
              <a:miter lim="800000"/>
              <a:headEnd/>
              <a:tailEnd/>
            </a:ln>
          </xdr:spPr>
        </xdr:sp>
        <xdr:grpSp>
          <xdr:nvGrpSpPr>
            <xdr:cNvPr id="10409" name="Group 463">
              <a:extLst>
                <a:ext uri="{FF2B5EF4-FFF2-40B4-BE49-F238E27FC236}">
                  <a16:creationId xmlns:a16="http://schemas.microsoft.com/office/drawing/2014/main" id="{00000000-0008-0000-0F00-0000A9280000}"/>
                </a:ext>
              </a:extLst>
            </xdr:cNvPr>
            <xdr:cNvGrpSpPr>
              <a:grpSpLocks/>
            </xdr:cNvGrpSpPr>
          </xdr:nvGrpSpPr>
          <xdr:grpSpPr bwMode="auto">
            <a:xfrm>
              <a:off x="112" y="387"/>
              <a:ext cx="133" cy="37"/>
              <a:chOff x="112" y="387"/>
              <a:chExt cx="154" cy="37"/>
            </a:xfrm>
          </xdr:grpSpPr>
          <xdr:sp macro="" textlink="">
            <xdr:nvSpPr>
              <xdr:cNvPr id="10413" name="Freeform 464">
                <a:extLst>
                  <a:ext uri="{FF2B5EF4-FFF2-40B4-BE49-F238E27FC236}">
                    <a16:creationId xmlns:a16="http://schemas.microsoft.com/office/drawing/2014/main" id="{00000000-0008-0000-0F00-0000AD280000}"/>
                  </a:ext>
                </a:extLst>
              </xdr:cNvPr>
              <xdr:cNvSpPr>
                <a:spLocks/>
              </xdr:cNvSpPr>
            </xdr:nvSpPr>
            <xdr:spPr bwMode="auto">
              <a:xfrm>
                <a:off x="115" y="387"/>
                <a:ext cx="149" cy="34"/>
              </a:xfrm>
              <a:custGeom>
                <a:avLst/>
                <a:gdLst>
                  <a:gd name="T0" fmla="*/ 0 w 149"/>
                  <a:gd name="T1" fmla="*/ 1 h 34"/>
                  <a:gd name="T2" fmla="*/ 0 w 149"/>
                  <a:gd name="T3" fmla="*/ 18 h 34"/>
                  <a:gd name="T4" fmla="*/ 0 w 149"/>
                  <a:gd name="T5" fmla="*/ 27 h 34"/>
                  <a:gd name="T6" fmla="*/ 0 w 149"/>
                  <a:gd name="T7" fmla="*/ 34 h 34"/>
                  <a:gd name="T8" fmla="*/ 3 w 149"/>
                  <a:gd name="T9" fmla="*/ 32 h 34"/>
                  <a:gd name="T10" fmla="*/ 3 w 149"/>
                  <a:gd name="T11" fmla="*/ 8 h 34"/>
                  <a:gd name="T12" fmla="*/ 3 w 149"/>
                  <a:gd name="T13" fmla="*/ 1 h 34"/>
                  <a:gd name="T14" fmla="*/ 9 w 149"/>
                  <a:gd name="T15" fmla="*/ 0 h 34"/>
                  <a:gd name="T16" fmla="*/ 149 w 149"/>
                  <a:gd name="T17" fmla="*/ 0 h 3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9"/>
                  <a:gd name="T28" fmla="*/ 0 h 34"/>
                  <a:gd name="T29" fmla="*/ 149 w 149"/>
                  <a:gd name="T30" fmla="*/ 34 h 3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9" h="34">
                    <a:moveTo>
                      <a:pt x="0" y="1"/>
                    </a:moveTo>
                    <a:lnTo>
                      <a:pt x="0" y="18"/>
                    </a:lnTo>
                    <a:lnTo>
                      <a:pt x="0" y="27"/>
                    </a:lnTo>
                    <a:lnTo>
                      <a:pt x="0" y="34"/>
                    </a:lnTo>
                    <a:lnTo>
                      <a:pt x="3" y="32"/>
                    </a:lnTo>
                    <a:lnTo>
                      <a:pt x="3" y="8"/>
                    </a:lnTo>
                    <a:lnTo>
                      <a:pt x="3" y="1"/>
                    </a:lnTo>
                    <a:lnTo>
                      <a:pt x="9" y="0"/>
                    </a:lnTo>
                    <a:lnTo>
                      <a:pt x="149" y="0"/>
                    </a:lnTo>
                  </a:path>
                </a:pathLst>
              </a:custGeom>
              <a:noFill/>
              <a:ln w="28575" cmpd="sng">
                <a:solidFill>
                  <a:srgbClr val="0000FF"/>
                </a:solidFill>
                <a:round/>
                <a:headEnd/>
                <a:tailEnd/>
              </a:ln>
            </xdr:spPr>
          </xdr:sp>
          <xdr:sp macro="" textlink="">
            <xdr:nvSpPr>
              <xdr:cNvPr id="10414" name="Freeform 465">
                <a:extLst>
                  <a:ext uri="{FF2B5EF4-FFF2-40B4-BE49-F238E27FC236}">
                    <a16:creationId xmlns:a16="http://schemas.microsoft.com/office/drawing/2014/main" id="{00000000-0008-0000-0F00-0000AE280000}"/>
                  </a:ext>
                </a:extLst>
              </xdr:cNvPr>
              <xdr:cNvSpPr>
                <a:spLocks/>
              </xdr:cNvSpPr>
            </xdr:nvSpPr>
            <xdr:spPr bwMode="auto">
              <a:xfrm>
                <a:off x="112" y="390"/>
                <a:ext cx="154" cy="34"/>
              </a:xfrm>
              <a:custGeom>
                <a:avLst/>
                <a:gdLst>
                  <a:gd name="T0" fmla="*/ 0 w 154"/>
                  <a:gd name="T1" fmla="*/ 0 h 34"/>
                  <a:gd name="T2" fmla="*/ 0 w 154"/>
                  <a:gd name="T3" fmla="*/ 18 h 34"/>
                  <a:gd name="T4" fmla="*/ 0 w 154"/>
                  <a:gd name="T5" fmla="*/ 32 h 34"/>
                  <a:gd name="T6" fmla="*/ 6 w 154"/>
                  <a:gd name="T7" fmla="*/ 34 h 34"/>
                  <a:gd name="T8" fmla="*/ 154 w 154"/>
                  <a:gd name="T9" fmla="*/ 34 h 34"/>
                  <a:gd name="T10" fmla="*/ 0 60000 65536"/>
                  <a:gd name="T11" fmla="*/ 0 60000 65536"/>
                  <a:gd name="T12" fmla="*/ 0 60000 65536"/>
                  <a:gd name="T13" fmla="*/ 0 60000 65536"/>
                  <a:gd name="T14" fmla="*/ 0 60000 65536"/>
                  <a:gd name="T15" fmla="*/ 0 w 154"/>
                  <a:gd name="T16" fmla="*/ 0 h 34"/>
                  <a:gd name="T17" fmla="*/ 154 w 154"/>
                  <a:gd name="T18" fmla="*/ 34 h 34"/>
                </a:gdLst>
                <a:ahLst/>
                <a:cxnLst>
                  <a:cxn ang="T10">
                    <a:pos x="T0" y="T1"/>
                  </a:cxn>
                  <a:cxn ang="T11">
                    <a:pos x="T2" y="T3"/>
                  </a:cxn>
                  <a:cxn ang="T12">
                    <a:pos x="T4" y="T5"/>
                  </a:cxn>
                  <a:cxn ang="T13">
                    <a:pos x="T6" y="T7"/>
                  </a:cxn>
                  <a:cxn ang="T14">
                    <a:pos x="T8" y="T9"/>
                  </a:cxn>
                </a:cxnLst>
                <a:rect l="T15" t="T16" r="T17" b="T18"/>
                <a:pathLst>
                  <a:path w="154" h="34">
                    <a:moveTo>
                      <a:pt x="0" y="0"/>
                    </a:moveTo>
                    <a:lnTo>
                      <a:pt x="0" y="18"/>
                    </a:lnTo>
                    <a:lnTo>
                      <a:pt x="0" y="32"/>
                    </a:lnTo>
                    <a:lnTo>
                      <a:pt x="6" y="34"/>
                    </a:lnTo>
                    <a:lnTo>
                      <a:pt x="154" y="34"/>
                    </a:lnTo>
                  </a:path>
                </a:pathLst>
              </a:custGeom>
              <a:noFill/>
              <a:ln w="28575" cmpd="sng">
                <a:solidFill>
                  <a:srgbClr val="0000FF"/>
                </a:solidFill>
                <a:round/>
                <a:headEnd/>
                <a:tailEnd/>
              </a:ln>
            </xdr:spPr>
          </xdr:sp>
        </xdr:grpSp>
        <xdr:sp macro="" textlink="">
          <xdr:nvSpPr>
            <xdr:cNvPr id="10410" name="Freeform 466">
              <a:extLst>
                <a:ext uri="{FF2B5EF4-FFF2-40B4-BE49-F238E27FC236}">
                  <a16:creationId xmlns:a16="http://schemas.microsoft.com/office/drawing/2014/main" id="{00000000-0008-0000-0F00-0000AA280000}"/>
                </a:ext>
              </a:extLst>
            </xdr:cNvPr>
            <xdr:cNvSpPr>
              <a:spLocks/>
            </xdr:cNvSpPr>
          </xdr:nvSpPr>
          <xdr:spPr bwMode="auto">
            <a:xfrm flipH="1">
              <a:off x="243" y="387"/>
              <a:ext cx="124" cy="34"/>
            </a:xfrm>
            <a:custGeom>
              <a:avLst/>
              <a:gdLst>
                <a:gd name="T0" fmla="*/ 0 w 149"/>
                <a:gd name="T1" fmla="*/ 1 h 34"/>
                <a:gd name="T2" fmla="*/ 0 w 149"/>
                <a:gd name="T3" fmla="*/ 18 h 34"/>
                <a:gd name="T4" fmla="*/ 0 w 149"/>
                <a:gd name="T5" fmla="*/ 27 h 34"/>
                <a:gd name="T6" fmla="*/ 0 w 149"/>
                <a:gd name="T7" fmla="*/ 34 h 34"/>
                <a:gd name="T8" fmla="*/ 2 w 149"/>
                <a:gd name="T9" fmla="*/ 32 h 34"/>
                <a:gd name="T10" fmla="*/ 2 w 149"/>
                <a:gd name="T11" fmla="*/ 8 h 34"/>
                <a:gd name="T12" fmla="*/ 2 w 149"/>
                <a:gd name="T13" fmla="*/ 1 h 34"/>
                <a:gd name="T14" fmla="*/ 2 w 149"/>
                <a:gd name="T15" fmla="*/ 0 h 34"/>
                <a:gd name="T16" fmla="*/ 2 w 149"/>
                <a:gd name="T17" fmla="*/ 0 h 3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9"/>
                <a:gd name="T28" fmla="*/ 0 h 34"/>
                <a:gd name="T29" fmla="*/ 149 w 149"/>
                <a:gd name="T30" fmla="*/ 34 h 3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9" h="34">
                  <a:moveTo>
                    <a:pt x="0" y="1"/>
                  </a:moveTo>
                  <a:lnTo>
                    <a:pt x="0" y="18"/>
                  </a:lnTo>
                  <a:lnTo>
                    <a:pt x="0" y="27"/>
                  </a:lnTo>
                  <a:lnTo>
                    <a:pt x="0" y="34"/>
                  </a:lnTo>
                  <a:lnTo>
                    <a:pt x="3" y="32"/>
                  </a:lnTo>
                  <a:lnTo>
                    <a:pt x="3" y="8"/>
                  </a:lnTo>
                  <a:lnTo>
                    <a:pt x="3" y="1"/>
                  </a:lnTo>
                  <a:lnTo>
                    <a:pt x="9" y="0"/>
                  </a:lnTo>
                  <a:lnTo>
                    <a:pt x="149" y="0"/>
                  </a:lnTo>
                </a:path>
              </a:pathLst>
            </a:custGeom>
            <a:noFill/>
            <a:ln w="28575" cmpd="sng">
              <a:solidFill>
                <a:srgbClr val="0000FF"/>
              </a:solidFill>
              <a:round/>
              <a:headEnd/>
              <a:tailEnd/>
            </a:ln>
          </xdr:spPr>
        </xdr:sp>
        <xdr:sp macro="" textlink="">
          <xdr:nvSpPr>
            <xdr:cNvPr id="10411" name="Freeform 467">
              <a:extLst>
                <a:ext uri="{FF2B5EF4-FFF2-40B4-BE49-F238E27FC236}">
                  <a16:creationId xmlns:a16="http://schemas.microsoft.com/office/drawing/2014/main" id="{00000000-0008-0000-0F00-0000AB280000}"/>
                </a:ext>
              </a:extLst>
            </xdr:cNvPr>
            <xdr:cNvSpPr>
              <a:spLocks/>
            </xdr:cNvSpPr>
          </xdr:nvSpPr>
          <xdr:spPr bwMode="auto">
            <a:xfrm flipH="1">
              <a:off x="244" y="390"/>
              <a:ext cx="126" cy="34"/>
            </a:xfrm>
            <a:custGeom>
              <a:avLst/>
              <a:gdLst>
                <a:gd name="T0" fmla="*/ 0 w 154"/>
                <a:gd name="T1" fmla="*/ 0 h 34"/>
                <a:gd name="T2" fmla="*/ 0 w 154"/>
                <a:gd name="T3" fmla="*/ 18 h 34"/>
                <a:gd name="T4" fmla="*/ 0 w 154"/>
                <a:gd name="T5" fmla="*/ 32 h 34"/>
                <a:gd name="T6" fmla="*/ 2 w 154"/>
                <a:gd name="T7" fmla="*/ 34 h 34"/>
                <a:gd name="T8" fmla="*/ 2 w 154"/>
                <a:gd name="T9" fmla="*/ 34 h 34"/>
                <a:gd name="T10" fmla="*/ 0 60000 65536"/>
                <a:gd name="T11" fmla="*/ 0 60000 65536"/>
                <a:gd name="T12" fmla="*/ 0 60000 65536"/>
                <a:gd name="T13" fmla="*/ 0 60000 65536"/>
                <a:gd name="T14" fmla="*/ 0 60000 65536"/>
                <a:gd name="T15" fmla="*/ 0 w 154"/>
                <a:gd name="T16" fmla="*/ 0 h 34"/>
                <a:gd name="T17" fmla="*/ 154 w 154"/>
                <a:gd name="T18" fmla="*/ 34 h 34"/>
              </a:gdLst>
              <a:ahLst/>
              <a:cxnLst>
                <a:cxn ang="T10">
                  <a:pos x="T0" y="T1"/>
                </a:cxn>
                <a:cxn ang="T11">
                  <a:pos x="T2" y="T3"/>
                </a:cxn>
                <a:cxn ang="T12">
                  <a:pos x="T4" y="T5"/>
                </a:cxn>
                <a:cxn ang="T13">
                  <a:pos x="T6" y="T7"/>
                </a:cxn>
                <a:cxn ang="T14">
                  <a:pos x="T8" y="T9"/>
                </a:cxn>
              </a:cxnLst>
              <a:rect l="T15" t="T16" r="T17" b="T18"/>
              <a:pathLst>
                <a:path w="154" h="34">
                  <a:moveTo>
                    <a:pt x="0" y="0"/>
                  </a:moveTo>
                  <a:lnTo>
                    <a:pt x="0" y="18"/>
                  </a:lnTo>
                  <a:lnTo>
                    <a:pt x="0" y="32"/>
                  </a:lnTo>
                  <a:lnTo>
                    <a:pt x="6" y="34"/>
                  </a:lnTo>
                  <a:lnTo>
                    <a:pt x="154" y="34"/>
                  </a:lnTo>
                </a:path>
              </a:pathLst>
            </a:custGeom>
            <a:noFill/>
            <a:ln w="28575" cmpd="sng">
              <a:solidFill>
                <a:srgbClr val="0000FF"/>
              </a:solidFill>
              <a:round/>
              <a:headEnd/>
              <a:tailEnd/>
            </a:ln>
          </xdr:spPr>
        </xdr:sp>
        <xdr:sp macro="" textlink="">
          <xdr:nvSpPr>
            <xdr:cNvPr id="10412" name="Freeform 468">
              <a:extLst>
                <a:ext uri="{FF2B5EF4-FFF2-40B4-BE49-F238E27FC236}">
                  <a16:creationId xmlns:a16="http://schemas.microsoft.com/office/drawing/2014/main" id="{00000000-0008-0000-0F00-0000AC280000}"/>
                </a:ext>
              </a:extLst>
            </xdr:cNvPr>
            <xdr:cNvSpPr>
              <a:spLocks/>
            </xdr:cNvSpPr>
          </xdr:nvSpPr>
          <xdr:spPr bwMode="auto">
            <a:xfrm>
              <a:off x="109" y="388"/>
              <a:ext cx="265" cy="40"/>
            </a:xfrm>
            <a:custGeom>
              <a:avLst/>
              <a:gdLst>
                <a:gd name="T0" fmla="*/ 0 w 269"/>
                <a:gd name="T1" fmla="*/ 0 h 40"/>
                <a:gd name="T2" fmla="*/ 0 w 269"/>
                <a:gd name="T3" fmla="*/ 40 h 40"/>
                <a:gd name="T4" fmla="*/ 191 w 269"/>
                <a:gd name="T5" fmla="*/ 40 h 40"/>
                <a:gd name="T6" fmla="*/ 191 w 269"/>
                <a:gd name="T7" fmla="*/ 0 h 40"/>
                <a:gd name="T8" fmla="*/ 0 60000 65536"/>
                <a:gd name="T9" fmla="*/ 0 60000 65536"/>
                <a:gd name="T10" fmla="*/ 0 60000 65536"/>
                <a:gd name="T11" fmla="*/ 0 60000 65536"/>
                <a:gd name="T12" fmla="*/ 0 w 269"/>
                <a:gd name="T13" fmla="*/ 0 h 40"/>
                <a:gd name="T14" fmla="*/ 269 w 269"/>
                <a:gd name="T15" fmla="*/ 40 h 40"/>
              </a:gdLst>
              <a:ahLst/>
              <a:cxnLst>
                <a:cxn ang="T8">
                  <a:pos x="T0" y="T1"/>
                </a:cxn>
                <a:cxn ang="T9">
                  <a:pos x="T2" y="T3"/>
                </a:cxn>
                <a:cxn ang="T10">
                  <a:pos x="T4" y="T5"/>
                </a:cxn>
                <a:cxn ang="T11">
                  <a:pos x="T6" y="T7"/>
                </a:cxn>
              </a:cxnLst>
              <a:rect l="T12" t="T13" r="T14" b="T15"/>
              <a:pathLst>
                <a:path w="269" h="40">
                  <a:moveTo>
                    <a:pt x="0" y="0"/>
                  </a:moveTo>
                  <a:lnTo>
                    <a:pt x="0" y="40"/>
                  </a:lnTo>
                  <a:lnTo>
                    <a:pt x="269" y="40"/>
                  </a:lnTo>
                  <a:lnTo>
                    <a:pt x="269" y="0"/>
                  </a:lnTo>
                </a:path>
              </a:pathLst>
            </a:custGeom>
            <a:noFill/>
            <a:ln w="47625" cap="flat" cmpd="sng">
              <a:pattFill prst="dkUpDiag">
                <a:fgClr>
                  <a:srgbClr val="000000"/>
                </a:fgClr>
                <a:bgClr>
                  <a:srgbClr val="A6CAF0"/>
                </a:bgClr>
              </a:pattFill>
              <a:prstDash val="solid"/>
              <a:round/>
              <a:headEnd type="none" w="med" len="med"/>
              <a:tailEnd type="none" w="med" len="med"/>
            </a:ln>
          </xdr:spPr>
        </xdr:sp>
      </xdr:grpSp>
      <xdr:sp macro="" textlink="">
        <xdr:nvSpPr>
          <xdr:cNvPr id="119253" name="Text Box 469">
            <a:extLst>
              <a:ext uri="{FF2B5EF4-FFF2-40B4-BE49-F238E27FC236}">
                <a16:creationId xmlns:a16="http://schemas.microsoft.com/office/drawing/2014/main" id="{00000000-0008-0000-0F00-0000D5D10100}"/>
              </a:ext>
            </a:extLst>
          </xdr:cNvPr>
          <xdr:cNvSpPr txBox="1">
            <a:spLocks noChangeArrowheads="1"/>
          </xdr:cNvSpPr>
        </xdr:nvSpPr>
        <xdr:spPr bwMode="auto">
          <a:xfrm>
            <a:off x="7781925" y="1628775"/>
            <a:ext cx="2190750" cy="476250"/>
          </a:xfrm>
          <a:prstGeom prst="rect">
            <a:avLst/>
          </a:prstGeom>
          <a:solidFill>
            <a:srgbClr val="FFFFFF"/>
          </a:solidFill>
          <a:ln>
            <a:noFill/>
          </a:ln>
        </xdr:spPr>
        <xdr:txBody>
          <a:bodyPr vertOverflow="clip" wrap="square" lIns="45720" tIns="36576" rIns="0" bIns="0" anchor="t" upright="1"/>
          <a:lstStyle/>
          <a:p>
            <a:pPr algn="l" rtl="0">
              <a:defRPr sz="1000"/>
            </a:pPr>
            <a:r>
              <a:rPr lang="en-US" sz="1800" b="1" i="0" u="none" strike="noStrike" baseline="0">
                <a:solidFill>
                  <a:srgbClr val="000000"/>
                </a:solidFill>
                <a:latin typeface="Arial"/>
                <a:cs typeface="Arial"/>
              </a:rPr>
              <a:t>After Edge Sealing</a:t>
            </a:r>
          </a:p>
        </xdr:txBody>
      </xdr:sp>
      <xdr:sp macro="" textlink="">
        <xdr:nvSpPr>
          <xdr:cNvPr id="119254" name="Text Box 470">
            <a:extLst>
              <a:ext uri="{FF2B5EF4-FFF2-40B4-BE49-F238E27FC236}">
                <a16:creationId xmlns:a16="http://schemas.microsoft.com/office/drawing/2014/main" id="{00000000-0008-0000-0F00-0000D6D10100}"/>
              </a:ext>
            </a:extLst>
          </xdr:cNvPr>
          <xdr:cNvSpPr txBox="1">
            <a:spLocks noChangeArrowheads="1"/>
          </xdr:cNvSpPr>
        </xdr:nvSpPr>
        <xdr:spPr bwMode="auto">
          <a:xfrm>
            <a:off x="7439025" y="2952750"/>
            <a:ext cx="2886075" cy="904875"/>
          </a:xfrm>
          <a:prstGeom prst="rect">
            <a:avLst/>
          </a:prstGeom>
          <a:solidFill>
            <a:srgbClr val="FFFFFF"/>
          </a:solidFill>
          <a:ln>
            <a:noFill/>
          </a:ln>
        </xdr:spPr>
        <xdr:txBody>
          <a:bodyPr vertOverflow="clip" wrap="square" lIns="45720" tIns="36576" rIns="45720" bIns="0" anchor="t" upright="1"/>
          <a:lstStyle/>
          <a:p>
            <a:pPr algn="ctr" rtl="0">
              <a:defRPr sz="1000"/>
            </a:pPr>
            <a:r>
              <a:rPr lang="en-US" sz="1800" b="1" i="0" u="none" strike="noStrike" baseline="0">
                <a:solidFill>
                  <a:srgbClr val="000000"/>
                </a:solidFill>
                <a:latin typeface="Arial"/>
                <a:cs typeface="Arial"/>
              </a:rPr>
              <a:t>After Edge Shaping and Addition of Aluminum Conduction Channel</a:t>
            </a:r>
          </a:p>
        </xdr:txBody>
      </xdr:sp>
      <xdr:sp macro="" textlink="">
        <xdr:nvSpPr>
          <xdr:cNvPr id="10281" name="Rectangle 471">
            <a:extLst>
              <a:ext uri="{FF2B5EF4-FFF2-40B4-BE49-F238E27FC236}">
                <a16:creationId xmlns:a16="http://schemas.microsoft.com/office/drawing/2014/main" id="{00000000-0008-0000-0F00-000029280000}"/>
              </a:ext>
            </a:extLst>
          </xdr:cNvPr>
          <xdr:cNvSpPr>
            <a:spLocks noChangeArrowheads="1"/>
          </xdr:cNvSpPr>
        </xdr:nvSpPr>
        <xdr:spPr bwMode="auto">
          <a:xfrm>
            <a:off x="4314825" y="1838325"/>
            <a:ext cx="485775" cy="3749040"/>
          </a:xfrm>
          <a:prstGeom prst="rect">
            <a:avLst/>
          </a:prstGeom>
          <a:solidFill>
            <a:srgbClr val="99CCFF"/>
          </a:solidFill>
          <a:ln w="9525">
            <a:solidFill>
              <a:srgbClr val="000000"/>
            </a:solidFill>
            <a:miter lim="800000"/>
            <a:headEnd/>
            <a:tailEnd/>
          </a:ln>
        </xdr:spPr>
      </xdr:sp>
      <xdr:sp macro="" textlink="">
        <xdr:nvSpPr>
          <xdr:cNvPr id="10282" name="Freeform 472">
            <a:extLst>
              <a:ext uri="{FF2B5EF4-FFF2-40B4-BE49-F238E27FC236}">
                <a16:creationId xmlns:a16="http://schemas.microsoft.com/office/drawing/2014/main" id="{00000000-0008-0000-0F00-00002A280000}"/>
              </a:ext>
            </a:extLst>
          </xdr:cNvPr>
          <xdr:cNvSpPr>
            <a:spLocks/>
          </xdr:cNvSpPr>
        </xdr:nvSpPr>
        <xdr:spPr bwMode="auto">
          <a:xfrm>
            <a:off x="4314825" y="1743075"/>
            <a:ext cx="523875" cy="95250"/>
          </a:xfrm>
          <a:custGeom>
            <a:avLst/>
            <a:gdLst>
              <a:gd name="T0" fmla="*/ 2147483647 w 55"/>
              <a:gd name="T1" fmla="*/ 2147483647 h 10"/>
              <a:gd name="T2" fmla="*/ 2147483647 w 55"/>
              <a:gd name="T3" fmla="*/ 2147483647 h 10"/>
              <a:gd name="T4" fmla="*/ 2147483647 w 55"/>
              <a:gd name="T5" fmla="*/ 2147483647 h 10"/>
              <a:gd name="T6" fmla="*/ 2147483647 w 55"/>
              <a:gd name="T7" fmla="*/ 0 h 10"/>
              <a:gd name="T8" fmla="*/ 2147483647 w 55"/>
              <a:gd name="T9" fmla="*/ 2147483647 h 10"/>
              <a:gd name="T10" fmla="*/ 0 w 55"/>
              <a:gd name="T11" fmla="*/ 2147483647 h 10"/>
              <a:gd name="T12" fmla="*/ 2147483647 w 55"/>
              <a:gd name="T13" fmla="*/ 2147483647 h 10"/>
              <a:gd name="T14" fmla="*/ 0 60000 65536"/>
              <a:gd name="T15" fmla="*/ 0 60000 65536"/>
              <a:gd name="T16" fmla="*/ 0 60000 65536"/>
              <a:gd name="T17" fmla="*/ 0 60000 65536"/>
              <a:gd name="T18" fmla="*/ 0 60000 65536"/>
              <a:gd name="T19" fmla="*/ 0 60000 65536"/>
              <a:gd name="T20" fmla="*/ 0 60000 65536"/>
              <a:gd name="T21" fmla="*/ 0 w 55"/>
              <a:gd name="T22" fmla="*/ 0 h 10"/>
              <a:gd name="T23" fmla="*/ 55 w 55"/>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5" h="10">
                <a:moveTo>
                  <a:pt x="51" y="10"/>
                </a:moveTo>
                <a:lnTo>
                  <a:pt x="55" y="6"/>
                </a:lnTo>
                <a:lnTo>
                  <a:pt x="14" y="6"/>
                </a:lnTo>
                <a:lnTo>
                  <a:pt x="14" y="0"/>
                </a:lnTo>
                <a:lnTo>
                  <a:pt x="7" y="5"/>
                </a:lnTo>
                <a:lnTo>
                  <a:pt x="0" y="10"/>
                </a:lnTo>
                <a:lnTo>
                  <a:pt x="51" y="10"/>
                </a:lnTo>
                <a:close/>
              </a:path>
            </a:pathLst>
          </a:custGeom>
          <a:solidFill>
            <a:srgbClr val="99CCFF"/>
          </a:solidFill>
          <a:ln w="9525">
            <a:solidFill>
              <a:srgbClr val="000000"/>
            </a:solidFill>
            <a:round/>
            <a:headEnd/>
            <a:tailEnd/>
          </a:ln>
        </xdr:spPr>
      </xdr:sp>
      <xdr:sp macro="" textlink="">
        <xdr:nvSpPr>
          <xdr:cNvPr id="10283" name="Freeform 473">
            <a:extLst>
              <a:ext uri="{FF2B5EF4-FFF2-40B4-BE49-F238E27FC236}">
                <a16:creationId xmlns:a16="http://schemas.microsoft.com/office/drawing/2014/main" id="{00000000-0008-0000-0F00-00002B280000}"/>
              </a:ext>
            </a:extLst>
          </xdr:cNvPr>
          <xdr:cNvSpPr>
            <a:spLocks/>
          </xdr:cNvSpPr>
        </xdr:nvSpPr>
        <xdr:spPr bwMode="auto">
          <a:xfrm>
            <a:off x="4800600" y="1800225"/>
            <a:ext cx="28575" cy="3794760"/>
          </a:xfrm>
          <a:custGeom>
            <a:avLst/>
            <a:gdLst>
              <a:gd name="T0" fmla="*/ 0 w 3"/>
              <a:gd name="T1" fmla="*/ 2147483647 h 416"/>
              <a:gd name="T2" fmla="*/ 2147483647 w 3"/>
              <a:gd name="T3" fmla="*/ 2147483647 h 416"/>
              <a:gd name="T4" fmla="*/ 2147483647 w 3"/>
              <a:gd name="T5" fmla="*/ 0 h 416"/>
              <a:gd name="T6" fmla="*/ 2147483647 w 3"/>
              <a:gd name="T7" fmla="*/ 2147483647 h 416"/>
              <a:gd name="T8" fmla="*/ 0 w 3"/>
              <a:gd name="T9" fmla="*/ 2147483647 h 416"/>
              <a:gd name="T10" fmla="*/ 0 60000 65536"/>
              <a:gd name="T11" fmla="*/ 0 60000 65536"/>
              <a:gd name="T12" fmla="*/ 0 60000 65536"/>
              <a:gd name="T13" fmla="*/ 0 60000 65536"/>
              <a:gd name="T14" fmla="*/ 0 60000 65536"/>
              <a:gd name="T15" fmla="*/ 0 w 3"/>
              <a:gd name="T16" fmla="*/ 0 h 416"/>
              <a:gd name="T17" fmla="*/ 3 w 3"/>
              <a:gd name="T18" fmla="*/ 416 h 416"/>
            </a:gdLst>
            <a:ahLst/>
            <a:cxnLst>
              <a:cxn ang="T10">
                <a:pos x="T0" y="T1"/>
              </a:cxn>
              <a:cxn ang="T11">
                <a:pos x="T2" y="T3"/>
              </a:cxn>
              <a:cxn ang="T12">
                <a:pos x="T4" y="T5"/>
              </a:cxn>
              <a:cxn ang="T13">
                <a:pos x="T6" y="T7"/>
              </a:cxn>
              <a:cxn ang="T14">
                <a:pos x="T8" y="T9"/>
              </a:cxn>
            </a:cxnLst>
            <a:rect l="T15" t="T16" r="T17" b="T18"/>
            <a:pathLst>
              <a:path w="3" h="416">
                <a:moveTo>
                  <a:pt x="0" y="416"/>
                </a:moveTo>
                <a:lnTo>
                  <a:pt x="1" y="4"/>
                </a:lnTo>
                <a:lnTo>
                  <a:pt x="3" y="0"/>
                </a:lnTo>
                <a:lnTo>
                  <a:pt x="3" y="412"/>
                </a:lnTo>
                <a:lnTo>
                  <a:pt x="0" y="416"/>
                </a:lnTo>
                <a:close/>
              </a:path>
            </a:pathLst>
          </a:custGeom>
          <a:solidFill>
            <a:srgbClr val="99CCFF"/>
          </a:solidFill>
          <a:ln w="9525">
            <a:solidFill>
              <a:srgbClr val="000000"/>
            </a:solidFill>
            <a:round/>
            <a:headEnd/>
            <a:tailEnd/>
          </a:ln>
        </xdr:spPr>
      </xdr:sp>
      <xdr:sp macro="" textlink="">
        <xdr:nvSpPr>
          <xdr:cNvPr id="119258" name="AutoShape 474">
            <a:extLst>
              <a:ext uri="{FF2B5EF4-FFF2-40B4-BE49-F238E27FC236}">
                <a16:creationId xmlns:a16="http://schemas.microsoft.com/office/drawing/2014/main" id="{00000000-0008-0000-0F00-0000DAD10100}"/>
              </a:ext>
            </a:extLst>
          </xdr:cNvPr>
          <xdr:cNvSpPr>
            <a:spLocks/>
          </xdr:cNvSpPr>
        </xdr:nvSpPr>
        <xdr:spPr bwMode="auto">
          <a:xfrm>
            <a:off x="819150" y="5000625"/>
            <a:ext cx="1733550" cy="847725"/>
          </a:xfrm>
          <a:prstGeom prst="callout2">
            <a:avLst>
              <a:gd name="adj1" fmla="val 13481"/>
              <a:gd name="adj2" fmla="val 104394"/>
              <a:gd name="adj3" fmla="val 13481"/>
              <a:gd name="adj4" fmla="val 148903"/>
              <a:gd name="adj5" fmla="val -101125"/>
              <a:gd name="adj6" fmla="val 214833"/>
            </a:avLst>
          </a:prstGeom>
          <a:solidFill>
            <a:srgbClr val="FFFFFF"/>
          </a:solidFill>
          <a:ln w="12700">
            <a:solidFill>
              <a:srgbClr val="000000"/>
            </a:solidFill>
            <a:miter lim="800000"/>
            <a:headEnd/>
            <a:tailEnd type="triangle" w="lg" len="lg"/>
          </a:ln>
        </xdr:spPr>
        <xdr:txBody>
          <a:bodyPr vertOverflow="clip" wrap="square" lIns="0" tIns="32004" rIns="36576" bIns="0" anchor="t" upright="1"/>
          <a:lstStyle/>
          <a:p>
            <a:pPr algn="r" rtl="0">
              <a:defRPr sz="1000"/>
            </a:pPr>
            <a:r>
              <a:rPr lang="en-US" sz="1600" b="1" i="0" u="none" strike="noStrike" baseline="0">
                <a:solidFill>
                  <a:srgbClr val="000000"/>
                </a:solidFill>
                <a:latin typeface="Arial"/>
                <a:cs typeface="Arial"/>
              </a:rPr>
              <a:t>Aluminum Conduction Channel</a:t>
            </a:r>
          </a:p>
        </xdr:txBody>
      </xdr:sp>
    </xdr:grpSp>
    <xdr:clientData/>
  </xdr:twoCellAnchor>
  <xdr:twoCellAnchor>
    <xdr:from>
      <xdr:col>2</xdr:col>
      <xdr:colOff>371475</xdr:colOff>
      <xdr:row>92</xdr:row>
      <xdr:rowOff>38100</xdr:rowOff>
    </xdr:from>
    <xdr:to>
      <xdr:col>13</xdr:col>
      <xdr:colOff>333375</xdr:colOff>
      <xdr:row>112</xdr:row>
      <xdr:rowOff>47625</xdr:rowOff>
    </xdr:to>
    <xdr:grpSp>
      <xdr:nvGrpSpPr>
        <xdr:cNvPr id="10293" name="Group 294">
          <a:extLst>
            <a:ext uri="{FF2B5EF4-FFF2-40B4-BE49-F238E27FC236}">
              <a16:creationId xmlns:a16="http://schemas.microsoft.com/office/drawing/2014/main" id="{00000000-0008-0000-0F00-000035280000}"/>
            </a:ext>
          </a:extLst>
        </xdr:cNvPr>
        <xdr:cNvGrpSpPr>
          <a:grpSpLocks/>
        </xdr:cNvGrpSpPr>
      </xdr:nvGrpSpPr>
      <xdr:grpSpPr bwMode="auto">
        <a:xfrm>
          <a:off x="1717675" y="15227300"/>
          <a:ext cx="7366000" cy="3311525"/>
          <a:chOff x="0" y="0"/>
          <a:chExt cx="700" cy="341"/>
        </a:xfrm>
      </xdr:grpSpPr>
      <xdr:sp macro="" textlink="">
        <xdr:nvSpPr>
          <xdr:cNvPr id="10308" name="Rectangle 296">
            <a:extLst>
              <a:ext uri="{FF2B5EF4-FFF2-40B4-BE49-F238E27FC236}">
                <a16:creationId xmlns:a16="http://schemas.microsoft.com/office/drawing/2014/main" id="{00000000-0008-0000-0F00-000044280000}"/>
              </a:ext>
            </a:extLst>
          </xdr:cNvPr>
          <xdr:cNvSpPr>
            <a:spLocks noChangeArrowheads="1"/>
          </xdr:cNvSpPr>
        </xdr:nvSpPr>
        <xdr:spPr bwMode="auto">
          <a:xfrm>
            <a:off x="0" y="0"/>
            <a:ext cx="448" cy="340"/>
          </a:xfrm>
          <a:prstGeom prst="rect">
            <a:avLst/>
          </a:prstGeom>
          <a:solidFill>
            <a:srgbClr val="FF9933"/>
          </a:solidFill>
          <a:ln w="9525">
            <a:solidFill>
              <a:srgbClr val="000000"/>
            </a:solidFill>
            <a:miter lim="800000"/>
            <a:headEnd/>
            <a:tailEnd/>
          </a:ln>
        </xdr:spPr>
      </xdr:sp>
      <xdr:sp macro="" textlink="">
        <xdr:nvSpPr>
          <xdr:cNvPr id="10309" name="Rectangle 297" descr="Granite">
            <a:extLst>
              <a:ext uri="{FF2B5EF4-FFF2-40B4-BE49-F238E27FC236}">
                <a16:creationId xmlns:a16="http://schemas.microsoft.com/office/drawing/2014/main" id="{00000000-0008-0000-0F00-000045280000}"/>
              </a:ext>
            </a:extLst>
          </xdr:cNvPr>
          <xdr:cNvSpPr>
            <a:spLocks noChangeArrowheads="1"/>
          </xdr:cNvSpPr>
        </xdr:nvSpPr>
        <xdr:spPr bwMode="auto">
          <a:xfrm>
            <a:off x="0" y="9"/>
            <a:ext cx="448" cy="153"/>
          </a:xfrm>
          <a:prstGeom prst="rect">
            <a:avLst/>
          </a:prstGeom>
          <a:blipFill dpi="0" rotWithShape="1">
            <a:blip xmlns:r="http://schemas.openxmlformats.org/officeDocument/2006/relationships" r:embed="rId1" cstate="print"/>
            <a:srcRect/>
            <a:tile tx="0" ty="0" sx="100000" sy="100000" flip="none" algn="tl"/>
          </a:blipFill>
          <a:ln w="9525">
            <a:solidFill>
              <a:srgbClr val="000000"/>
            </a:solidFill>
            <a:miter lim="800000"/>
            <a:headEnd/>
            <a:tailEnd/>
          </a:ln>
        </xdr:spPr>
      </xdr:sp>
      <xdr:sp macro="" textlink="">
        <xdr:nvSpPr>
          <xdr:cNvPr id="10310" name="Rectangle 298" descr="Granite">
            <a:extLst>
              <a:ext uri="{FF2B5EF4-FFF2-40B4-BE49-F238E27FC236}">
                <a16:creationId xmlns:a16="http://schemas.microsoft.com/office/drawing/2014/main" id="{00000000-0008-0000-0F00-000046280000}"/>
              </a:ext>
            </a:extLst>
          </xdr:cNvPr>
          <xdr:cNvSpPr>
            <a:spLocks noChangeArrowheads="1"/>
          </xdr:cNvSpPr>
        </xdr:nvSpPr>
        <xdr:spPr bwMode="auto">
          <a:xfrm>
            <a:off x="0" y="179"/>
            <a:ext cx="448" cy="154"/>
          </a:xfrm>
          <a:prstGeom prst="rect">
            <a:avLst/>
          </a:prstGeom>
          <a:blipFill dpi="0" rotWithShape="1">
            <a:blip xmlns:r="http://schemas.openxmlformats.org/officeDocument/2006/relationships" r:embed="rId1" cstate="print"/>
            <a:srcRect/>
            <a:tile tx="0" ty="0" sx="100000" sy="100000" flip="none" algn="tl"/>
          </a:blipFill>
          <a:ln w="9525">
            <a:solidFill>
              <a:srgbClr val="000000"/>
            </a:solidFill>
            <a:miter lim="800000"/>
            <a:headEnd/>
            <a:tailEnd/>
          </a:ln>
        </xdr:spPr>
      </xdr:sp>
      <xdr:sp macro="" textlink="">
        <xdr:nvSpPr>
          <xdr:cNvPr id="10311" name="Line 370">
            <a:extLst>
              <a:ext uri="{FF2B5EF4-FFF2-40B4-BE49-F238E27FC236}">
                <a16:creationId xmlns:a16="http://schemas.microsoft.com/office/drawing/2014/main" id="{00000000-0008-0000-0F00-000047280000}"/>
              </a:ext>
            </a:extLst>
          </xdr:cNvPr>
          <xdr:cNvSpPr>
            <a:spLocks noChangeShapeType="1"/>
          </xdr:cNvSpPr>
        </xdr:nvSpPr>
        <xdr:spPr bwMode="auto">
          <a:xfrm>
            <a:off x="64" y="0"/>
            <a:ext cx="0" cy="340"/>
          </a:xfrm>
          <a:prstGeom prst="line">
            <a:avLst/>
          </a:prstGeom>
          <a:noFill/>
          <a:ln w="19050">
            <a:solidFill>
              <a:srgbClr val="000000"/>
            </a:solidFill>
            <a:prstDash val="dash"/>
            <a:round/>
            <a:headEnd/>
            <a:tailEnd/>
          </a:ln>
        </xdr:spPr>
      </xdr:sp>
      <xdr:sp macro="" textlink="">
        <xdr:nvSpPr>
          <xdr:cNvPr id="10312" name="Line 371">
            <a:extLst>
              <a:ext uri="{FF2B5EF4-FFF2-40B4-BE49-F238E27FC236}">
                <a16:creationId xmlns:a16="http://schemas.microsoft.com/office/drawing/2014/main" id="{00000000-0008-0000-0F00-000048280000}"/>
              </a:ext>
            </a:extLst>
          </xdr:cNvPr>
          <xdr:cNvSpPr>
            <a:spLocks noChangeShapeType="1"/>
          </xdr:cNvSpPr>
        </xdr:nvSpPr>
        <xdr:spPr bwMode="auto">
          <a:xfrm>
            <a:off x="128" y="0"/>
            <a:ext cx="0" cy="340"/>
          </a:xfrm>
          <a:prstGeom prst="line">
            <a:avLst/>
          </a:prstGeom>
          <a:noFill/>
          <a:ln w="19050">
            <a:solidFill>
              <a:srgbClr val="000000"/>
            </a:solidFill>
            <a:prstDash val="dash"/>
            <a:round/>
            <a:headEnd/>
            <a:tailEnd/>
          </a:ln>
        </xdr:spPr>
      </xdr:sp>
      <xdr:sp macro="" textlink="">
        <xdr:nvSpPr>
          <xdr:cNvPr id="10313" name="Line 372">
            <a:extLst>
              <a:ext uri="{FF2B5EF4-FFF2-40B4-BE49-F238E27FC236}">
                <a16:creationId xmlns:a16="http://schemas.microsoft.com/office/drawing/2014/main" id="{00000000-0008-0000-0F00-000049280000}"/>
              </a:ext>
            </a:extLst>
          </xdr:cNvPr>
          <xdr:cNvSpPr>
            <a:spLocks noChangeShapeType="1"/>
          </xdr:cNvSpPr>
        </xdr:nvSpPr>
        <xdr:spPr bwMode="auto">
          <a:xfrm>
            <a:off x="192" y="1"/>
            <a:ext cx="0" cy="340"/>
          </a:xfrm>
          <a:prstGeom prst="line">
            <a:avLst/>
          </a:prstGeom>
          <a:noFill/>
          <a:ln w="19050">
            <a:solidFill>
              <a:srgbClr val="000000"/>
            </a:solidFill>
            <a:prstDash val="dash"/>
            <a:round/>
            <a:headEnd/>
            <a:tailEnd/>
          </a:ln>
        </xdr:spPr>
      </xdr:sp>
      <xdr:sp macro="" textlink="">
        <xdr:nvSpPr>
          <xdr:cNvPr id="10314" name="Line 373">
            <a:extLst>
              <a:ext uri="{FF2B5EF4-FFF2-40B4-BE49-F238E27FC236}">
                <a16:creationId xmlns:a16="http://schemas.microsoft.com/office/drawing/2014/main" id="{00000000-0008-0000-0F00-00004A280000}"/>
              </a:ext>
            </a:extLst>
          </xdr:cNvPr>
          <xdr:cNvSpPr>
            <a:spLocks noChangeShapeType="1"/>
          </xdr:cNvSpPr>
        </xdr:nvSpPr>
        <xdr:spPr bwMode="auto">
          <a:xfrm>
            <a:off x="256" y="1"/>
            <a:ext cx="0" cy="340"/>
          </a:xfrm>
          <a:prstGeom prst="line">
            <a:avLst/>
          </a:prstGeom>
          <a:noFill/>
          <a:ln w="19050">
            <a:solidFill>
              <a:srgbClr val="000000"/>
            </a:solidFill>
            <a:prstDash val="dash"/>
            <a:round/>
            <a:headEnd/>
            <a:tailEnd/>
          </a:ln>
        </xdr:spPr>
      </xdr:sp>
      <xdr:sp macro="" textlink="">
        <xdr:nvSpPr>
          <xdr:cNvPr id="10315" name="Line 374">
            <a:extLst>
              <a:ext uri="{FF2B5EF4-FFF2-40B4-BE49-F238E27FC236}">
                <a16:creationId xmlns:a16="http://schemas.microsoft.com/office/drawing/2014/main" id="{00000000-0008-0000-0F00-00004B280000}"/>
              </a:ext>
            </a:extLst>
          </xdr:cNvPr>
          <xdr:cNvSpPr>
            <a:spLocks noChangeShapeType="1"/>
          </xdr:cNvSpPr>
        </xdr:nvSpPr>
        <xdr:spPr bwMode="auto">
          <a:xfrm>
            <a:off x="320" y="0"/>
            <a:ext cx="0" cy="340"/>
          </a:xfrm>
          <a:prstGeom prst="line">
            <a:avLst/>
          </a:prstGeom>
          <a:noFill/>
          <a:ln w="19050">
            <a:solidFill>
              <a:srgbClr val="000000"/>
            </a:solidFill>
            <a:prstDash val="dash"/>
            <a:round/>
            <a:headEnd/>
            <a:tailEnd/>
          </a:ln>
        </xdr:spPr>
      </xdr:sp>
      <xdr:sp macro="" textlink="">
        <xdr:nvSpPr>
          <xdr:cNvPr id="10316" name="Line 375">
            <a:extLst>
              <a:ext uri="{FF2B5EF4-FFF2-40B4-BE49-F238E27FC236}">
                <a16:creationId xmlns:a16="http://schemas.microsoft.com/office/drawing/2014/main" id="{00000000-0008-0000-0F00-00004C280000}"/>
              </a:ext>
            </a:extLst>
          </xdr:cNvPr>
          <xdr:cNvSpPr>
            <a:spLocks noChangeShapeType="1"/>
          </xdr:cNvSpPr>
        </xdr:nvSpPr>
        <xdr:spPr bwMode="auto">
          <a:xfrm>
            <a:off x="384" y="0"/>
            <a:ext cx="0" cy="340"/>
          </a:xfrm>
          <a:prstGeom prst="line">
            <a:avLst/>
          </a:prstGeom>
          <a:noFill/>
          <a:ln w="19050">
            <a:solidFill>
              <a:srgbClr val="000000"/>
            </a:solidFill>
            <a:prstDash val="dash"/>
            <a:round/>
            <a:headEnd/>
            <a:tailEnd/>
          </a:ln>
        </xdr:spPr>
      </xdr:sp>
      <xdr:sp macro="" textlink="">
        <xdr:nvSpPr>
          <xdr:cNvPr id="10317" name="Line 376">
            <a:extLst>
              <a:ext uri="{FF2B5EF4-FFF2-40B4-BE49-F238E27FC236}">
                <a16:creationId xmlns:a16="http://schemas.microsoft.com/office/drawing/2014/main" id="{00000000-0008-0000-0F00-00004D280000}"/>
              </a:ext>
            </a:extLst>
          </xdr:cNvPr>
          <xdr:cNvSpPr>
            <a:spLocks noChangeShapeType="1"/>
          </xdr:cNvSpPr>
        </xdr:nvSpPr>
        <xdr:spPr bwMode="auto">
          <a:xfrm>
            <a:off x="0" y="85"/>
            <a:ext cx="448" cy="0"/>
          </a:xfrm>
          <a:prstGeom prst="line">
            <a:avLst/>
          </a:prstGeom>
          <a:noFill/>
          <a:ln w="19050">
            <a:solidFill>
              <a:srgbClr val="000000"/>
            </a:solidFill>
            <a:prstDash val="dash"/>
            <a:round/>
            <a:headEnd/>
            <a:tailEnd/>
          </a:ln>
        </xdr:spPr>
      </xdr:sp>
      <xdr:sp macro="" textlink="">
        <xdr:nvSpPr>
          <xdr:cNvPr id="10318" name="Line 377">
            <a:extLst>
              <a:ext uri="{FF2B5EF4-FFF2-40B4-BE49-F238E27FC236}">
                <a16:creationId xmlns:a16="http://schemas.microsoft.com/office/drawing/2014/main" id="{00000000-0008-0000-0F00-00004E280000}"/>
              </a:ext>
            </a:extLst>
          </xdr:cNvPr>
          <xdr:cNvSpPr>
            <a:spLocks noChangeShapeType="1"/>
          </xdr:cNvSpPr>
        </xdr:nvSpPr>
        <xdr:spPr bwMode="auto">
          <a:xfrm>
            <a:off x="0" y="171"/>
            <a:ext cx="448" cy="0"/>
          </a:xfrm>
          <a:prstGeom prst="line">
            <a:avLst/>
          </a:prstGeom>
          <a:noFill/>
          <a:ln w="19050">
            <a:solidFill>
              <a:srgbClr val="000000"/>
            </a:solidFill>
            <a:prstDash val="dash"/>
            <a:round/>
            <a:headEnd/>
            <a:tailEnd/>
          </a:ln>
        </xdr:spPr>
      </xdr:sp>
      <xdr:sp macro="" textlink="">
        <xdr:nvSpPr>
          <xdr:cNvPr id="10319" name="Line 378">
            <a:extLst>
              <a:ext uri="{FF2B5EF4-FFF2-40B4-BE49-F238E27FC236}">
                <a16:creationId xmlns:a16="http://schemas.microsoft.com/office/drawing/2014/main" id="{00000000-0008-0000-0F00-00004F280000}"/>
              </a:ext>
            </a:extLst>
          </xdr:cNvPr>
          <xdr:cNvSpPr>
            <a:spLocks noChangeShapeType="1"/>
          </xdr:cNvSpPr>
        </xdr:nvSpPr>
        <xdr:spPr bwMode="auto">
          <a:xfrm>
            <a:off x="0" y="256"/>
            <a:ext cx="448" cy="0"/>
          </a:xfrm>
          <a:prstGeom prst="line">
            <a:avLst/>
          </a:prstGeom>
          <a:noFill/>
          <a:ln w="19050">
            <a:solidFill>
              <a:srgbClr val="000000"/>
            </a:solidFill>
            <a:prstDash val="dash"/>
            <a:round/>
            <a:headEnd/>
            <a:tailEnd/>
          </a:ln>
        </xdr:spPr>
      </xdr:sp>
      <xdr:sp macro="" textlink="">
        <xdr:nvSpPr>
          <xdr:cNvPr id="309" name="AutoShape 379">
            <a:extLst>
              <a:ext uri="{FF2B5EF4-FFF2-40B4-BE49-F238E27FC236}">
                <a16:creationId xmlns:a16="http://schemas.microsoft.com/office/drawing/2014/main" id="{00000000-0008-0000-0F00-000035010000}"/>
              </a:ext>
            </a:extLst>
          </xdr:cNvPr>
          <xdr:cNvSpPr>
            <a:spLocks/>
          </xdr:cNvSpPr>
        </xdr:nvSpPr>
        <xdr:spPr bwMode="auto">
          <a:xfrm>
            <a:off x="527" y="20"/>
            <a:ext cx="122" cy="64"/>
          </a:xfrm>
          <a:prstGeom prst="callout2">
            <a:avLst>
              <a:gd name="adj1" fmla="val 18750"/>
              <a:gd name="adj2" fmla="val -6556"/>
              <a:gd name="adj3" fmla="val 18750"/>
              <a:gd name="adj4" fmla="val -50000"/>
              <a:gd name="adj5" fmla="val 45315"/>
              <a:gd name="adj6" fmla="val -85245"/>
            </a:avLst>
          </a:prstGeom>
          <a:solidFill>
            <a:srgbClr val="FFFFFF"/>
          </a:solidFill>
          <a:ln w="9525">
            <a:solidFill>
              <a:srgbClr val="000000"/>
            </a:solidFill>
            <a:miter lim="800000"/>
            <a:headEnd/>
            <a:tailEnd type="triangle" w="lg" len="lg"/>
          </a:ln>
        </xdr:spPr>
        <xdr:txBody>
          <a:bodyPr wrap="square" lIns="45720" tIns="36576"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r>
              <a:rPr lang="en-US" sz="1800" b="1" i="0" u="none" strike="noStrike" baseline="0">
                <a:solidFill>
                  <a:srgbClr val="000000"/>
                </a:solidFill>
                <a:latin typeface="Arial"/>
                <a:cs typeface="Arial"/>
              </a:rPr>
              <a:t>Electrode Coating</a:t>
            </a:r>
          </a:p>
        </xdr:txBody>
      </xdr:sp>
      <xdr:sp macro="" textlink="">
        <xdr:nvSpPr>
          <xdr:cNvPr id="310" name="AutoShape 380">
            <a:extLst>
              <a:ext uri="{FF2B5EF4-FFF2-40B4-BE49-F238E27FC236}">
                <a16:creationId xmlns:a16="http://schemas.microsoft.com/office/drawing/2014/main" id="{00000000-0008-0000-0F00-000036010000}"/>
              </a:ext>
            </a:extLst>
          </xdr:cNvPr>
          <xdr:cNvSpPr>
            <a:spLocks/>
          </xdr:cNvSpPr>
        </xdr:nvSpPr>
        <xdr:spPr bwMode="auto">
          <a:xfrm>
            <a:off x="500" y="238"/>
            <a:ext cx="200" cy="99"/>
          </a:xfrm>
          <a:prstGeom prst="callout2">
            <a:avLst>
              <a:gd name="adj1" fmla="val 12120"/>
              <a:gd name="adj2" fmla="val -4000"/>
              <a:gd name="adj3" fmla="val 12120"/>
              <a:gd name="adj4" fmla="val -20500"/>
              <a:gd name="adj5" fmla="val 57574"/>
              <a:gd name="adj6" fmla="val -58500"/>
            </a:avLst>
          </a:prstGeom>
          <a:solidFill>
            <a:srgbClr val="FFFFFF"/>
          </a:solidFill>
          <a:ln w="9525">
            <a:solidFill>
              <a:srgbClr val="000000"/>
            </a:solidFill>
            <a:miter lim="800000"/>
            <a:headEnd/>
            <a:tailEnd type="triangle" w="lg" len="lg"/>
          </a:ln>
        </xdr:spPr>
        <xdr:txBody>
          <a:bodyPr wrap="square" lIns="45720" tIns="36576"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r>
              <a:rPr lang="en-US" sz="1800" b="1" i="0" u="none" strike="noStrike" baseline="0">
                <a:solidFill>
                  <a:srgbClr val="000000"/>
                </a:solidFill>
                <a:latin typeface="Arial"/>
                <a:cs typeface="Arial"/>
              </a:rPr>
              <a:t>Lines Showing Places to Cut for Electrodes</a:t>
            </a:r>
          </a:p>
        </xdr:txBody>
      </xdr:sp>
      <xdr:sp macro="" textlink="">
        <xdr:nvSpPr>
          <xdr:cNvPr id="311" name="AutoShape 381">
            <a:extLst>
              <a:ext uri="{FF2B5EF4-FFF2-40B4-BE49-F238E27FC236}">
                <a16:creationId xmlns:a16="http://schemas.microsoft.com/office/drawing/2014/main" id="{00000000-0008-0000-0F00-000037010000}"/>
              </a:ext>
            </a:extLst>
          </xdr:cNvPr>
          <xdr:cNvSpPr>
            <a:spLocks/>
          </xdr:cNvSpPr>
        </xdr:nvSpPr>
        <xdr:spPr bwMode="auto">
          <a:xfrm>
            <a:off x="519" y="140"/>
            <a:ext cx="178" cy="58"/>
          </a:xfrm>
          <a:prstGeom prst="callout2">
            <a:avLst>
              <a:gd name="adj1" fmla="val 20690"/>
              <a:gd name="adj2" fmla="val -4495"/>
              <a:gd name="adj3" fmla="val 20690"/>
              <a:gd name="adj4" fmla="val -24718"/>
              <a:gd name="adj5" fmla="val 46551"/>
              <a:gd name="adj6" fmla="val -41009"/>
            </a:avLst>
          </a:prstGeom>
          <a:solidFill>
            <a:srgbClr val="FFFFFF"/>
          </a:solidFill>
          <a:ln w="9525">
            <a:solidFill>
              <a:srgbClr val="000000"/>
            </a:solidFill>
            <a:miter lim="800000"/>
            <a:headEnd/>
            <a:tailEnd type="triangle" w="lg" len="lg"/>
          </a:ln>
        </xdr:spPr>
        <xdr:txBody>
          <a:bodyPr wrap="square" lIns="45720" tIns="36576"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r>
              <a:rPr lang="en-US" sz="1800" b="1" i="0" u="none" strike="noStrike" baseline="0">
                <a:solidFill>
                  <a:srgbClr val="000000"/>
                </a:solidFill>
                <a:latin typeface="Arial"/>
                <a:cs typeface="Arial"/>
              </a:rPr>
              <a:t>Uncoated Area for CC Tabs</a:t>
            </a:r>
          </a:p>
        </xdr:txBody>
      </xdr:sp>
      <xdr:sp macro="" textlink="">
        <xdr:nvSpPr>
          <xdr:cNvPr id="10323" name="Line 382">
            <a:extLst>
              <a:ext uri="{FF2B5EF4-FFF2-40B4-BE49-F238E27FC236}">
                <a16:creationId xmlns:a16="http://schemas.microsoft.com/office/drawing/2014/main" id="{00000000-0008-0000-0F00-000053280000}"/>
              </a:ext>
            </a:extLst>
          </xdr:cNvPr>
          <xdr:cNvSpPr>
            <a:spLocks noChangeShapeType="1"/>
          </xdr:cNvSpPr>
        </xdr:nvSpPr>
        <xdr:spPr bwMode="auto">
          <a:xfrm flipH="1" flipV="1">
            <a:off x="408" y="170"/>
            <a:ext cx="51" cy="80"/>
          </a:xfrm>
          <a:prstGeom prst="line">
            <a:avLst/>
          </a:prstGeom>
          <a:noFill/>
          <a:ln w="9525">
            <a:solidFill>
              <a:srgbClr val="000000"/>
            </a:solidFill>
            <a:round/>
            <a:headEnd/>
            <a:tailEnd type="triangle" w="lg" len="lg"/>
          </a:ln>
        </xdr:spPr>
      </xdr:sp>
    </xdr:grpSp>
    <xdr:clientData/>
  </xdr:twoCellAnchor>
  <xdr:twoCellAnchor>
    <xdr:from>
      <xdr:col>2</xdr:col>
      <xdr:colOff>400050</xdr:colOff>
      <xdr:row>114</xdr:row>
      <xdr:rowOff>114300</xdr:rowOff>
    </xdr:from>
    <xdr:to>
      <xdr:col>10</xdr:col>
      <xdr:colOff>161925</xdr:colOff>
      <xdr:row>119</xdr:row>
      <xdr:rowOff>19050</xdr:rowOff>
    </xdr:to>
    <xdr:sp macro="" textlink="">
      <xdr:nvSpPr>
        <xdr:cNvPr id="296" name="Text Box 385">
          <a:extLst>
            <a:ext uri="{FF2B5EF4-FFF2-40B4-BE49-F238E27FC236}">
              <a16:creationId xmlns:a16="http://schemas.microsoft.com/office/drawing/2014/main" id="{00000000-0008-0000-0F00-000028010000}"/>
            </a:ext>
          </a:extLst>
        </xdr:cNvPr>
        <xdr:cNvSpPr txBox="1">
          <a:spLocks noChangeArrowheads="1"/>
        </xdr:cNvSpPr>
      </xdr:nvSpPr>
      <xdr:spPr bwMode="auto">
        <a:xfrm>
          <a:off x="1619250" y="18249900"/>
          <a:ext cx="4638675" cy="714375"/>
        </a:xfrm>
        <a:prstGeom prst="rect">
          <a:avLst/>
        </a:prstGeom>
        <a:solidFill>
          <a:srgbClr val="FFFFFF"/>
        </a:solidFill>
        <a:ln>
          <a:noFill/>
        </a:ln>
      </xdr:spPr>
      <xdr:txBody>
        <a:bodyPr wrap="square" lIns="45720" tIns="41148" rIns="4572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r>
            <a:rPr lang="en-US" sz="2000" b="1" i="0" u="none" strike="noStrike" baseline="0">
              <a:solidFill>
                <a:srgbClr val="993366"/>
              </a:solidFill>
              <a:latin typeface="Arial"/>
              <a:cs typeface="Arial"/>
            </a:rPr>
            <a:t>Sample Layout of Electrode Coating on Cell Current Collector Foil</a:t>
          </a:r>
        </a:p>
      </xdr:txBody>
    </xdr:sp>
    <xdr:clientData/>
  </xdr:twoCellAnchor>
  <xdr:twoCellAnchor>
    <xdr:from>
      <xdr:col>2</xdr:col>
      <xdr:colOff>488949</xdr:colOff>
      <xdr:row>80</xdr:row>
      <xdr:rowOff>139701</xdr:rowOff>
    </xdr:from>
    <xdr:to>
      <xdr:col>11</xdr:col>
      <xdr:colOff>517524</xdr:colOff>
      <xdr:row>83</xdr:row>
      <xdr:rowOff>120650</xdr:rowOff>
    </xdr:to>
    <xdr:sp macro="" textlink="">
      <xdr:nvSpPr>
        <xdr:cNvPr id="230" name="Text Box 387">
          <a:extLst>
            <a:ext uri="{FF2B5EF4-FFF2-40B4-BE49-F238E27FC236}">
              <a16:creationId xmlns:a16="http://schemas.microsoft.com/office/drawing/2014/main" id="{00000000-0008-0000-0F00-0000E6000000}"/>
            </a:ext>
          </a:extLst>
        </xdr:cNvPr>
        <xdr:cNvSpPr txBox="1">
          <a:spLocks noChangeArrowheads="1"/>
        </xdr:cNvSpPr>
      </xdr:nvSpPr>
      <xdr:spPr bwMode="auto">
        <a:xfrm>
          <a:off x="1708149" y="13093701"/>
          <a:ext cx="5514975" cy="466724"/>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Provisions for Cooling Cells With Cabin Air</a:t>
          </a:r>
        </a:p>
      </xdr:txBody>
    </xdr:sp>
    <xdr:clientData/>
  </xdr:twoCellAnchor>
  <xdr:twoCellAnchor>
    <xdr:from>
      <xdr:col>0</xdr:col>
      <xdr:colOff>114300</xdr:colOff>
      <xdr:row>47</xdr:row>
      <xdr:rowOff>104775</xdr:rowOff>
    </xdr:from>
    <xdr:to>
      <xdr:col>0</xdr:col>
      <xdr:colOff>114300</xdr:colOff>
      <xdr:row>47</xdr:row>
      <xdr:rowOff>104775</xdr:rowOff>
    </xdr:to>
    <xdr:sp macro="" textlink="">
      <xdr:nvSpPr>
        <xdr:cNvPr id="10376" name="Line 446">
          <a:extLst>
            <a:ext uri="{FF2B5EF4-FFF2-40B4-BE49-F238E27FC236}">
              <a16:creationId xmlns:a16="http://schemas.microsoft.com/office/drawing/2014/main" id="{00000000-0008-0000-0F00-000088280000}"/>
            </a:ext>
          </a:extLst>
        </xdr:cNvPr>
        <xdr:cNvSpPr>
          <a:spLocks noChangeShapeType="1"/>
        </xdr:cNvSpPr>
      </xdr:nvSpPr>
      <xdr:spPr bwMode="auto">
        <a:xfrm>
          <a:off x="114300" y="7715250"/>
          <a:ext cx="0" cy="0"/>
        </a:xfrm>
        <a:prstGeom prst="line">
          <a:avLst/>
        </a:prstGeom>
        <a:noFill/>
        <a:ln w="9525">
          <a:solidFill>
            <a:srgbClr val="000000"/>
          </a:solidFill>
          <a:round/>
          <a:headEnd/>
          <a:tailEnd/>
        </a:ln>
      </xdr:spPr>
    </xdr:sp>
    <xdr:clientData/>
  </xdr:twoCellAnchor>
  <xdr:twoCellAnchor>
    <xdr:from>
      <xdr:col>0</xdr:col>
      <xdr:colOff>466725</xdr:colOff>
      <xdr:row>40</xdr:row>
      <xdr:rowOff>47625</xdr:rowOff>
    </xdr:from>
    <xdr:to>
      <xdr:col>13</xdr:col>
      <xdr:colOff>600076</xdr:colOff>
      <xdr:row>77</xdr:row>
      <xdr:rowOff>86299</xdr:rowOff>
    </xdr:to>
    <xdr:grpSp>
      <xdr:nvGrpSpPr>
        <xdr:cNvPr id="5" name="Group 4">
          <a:extLst>
            <a:ext uri="{FF2B5EF4-FFF2-40B4-BE49-F238E27FC236}">
              <a16:creationId xmlns:a16="http://schemas.microsoft.com/office/drawing/2014/main" id="{00000000-0008-0000-0F00-000005000000}"/>
            </a:ext>
          </a:extLst>
        </xdr:cNvPr>
        <xdr:cNvGrpSpPr/>
      </xdr:nvGrpSpPr>
      <xdr:grpSpPr>
        <a:xfrm>
          <a:off x="466725" y="6651625"/>
          <a:ext cx="8883651" cy="6147374"/>
          <a:chOff x="276225" y="6477000"/>
          <a:chExt cx="7530407" cy="6029959"/>
        </a:xfrm>
      </xdr:grpSpPr>
      <xdr:sp macro="" textlink="">
        <xdr:nvSpPr>
          <xdr:cNvPr id="217" name="TextBox 216">
            <a:extLst>
              <a:ext uri="{FF2B5EF4-FFF2-40B4-BE49-F238E27FC236}">
                <a16:creationId xmlns:a16="http://schemas.microsoft.com/office/drawing/2014/main" id="{00000000-0008-0000-0F00-0000D9000000}"/>
              </a:ext>
            </a:extLst>
          </xdr:cNvPr>
          <xdr:cNvSpPr txBox="1"/>
        </xdr:nvSpPr>
        <xdr:spPr>
          <a:xfrm>
            <a:off x="6758881" y="10963275"/>
            <a:ext cx="1047751"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n>
                  <a:noFill/>
                </a:ln>
              </a:rPr>
              <a:t>6 </a:t>
            </a:r>
            <a:r>
              <a:rPr lang="en-US" sz="1600" b="1" baseline="0">
                <a:ln>
                  <a:noFill/>
                </a:ln>
              </a:rPr>
              <a:t>mm</a:t>
            </a:r>
            <a:endParaRPr lang="en-US" sz="1600" b="1">
              <a:ln>
                <a:noFill/>
              </a:ln>
            </a:endParaRPr>
          </a:p>
        </xdr:txBody>
      </xdr:sp>
      <xdr:sp macro="" textlink="">
        <xdr:nvSpPr>
          <xdr:cNvPr id="10368" name="Rectangle 168">
            <a:extLst>
              <a:ext uri="{FF2B5EF4-FFF2-40B4-BE49-F238E27FC236}">
                <a16:creationId xmlns:a16="http://schemas.microsoft.com/office/drawing/2014/main" id="{00000000-0008-0000-0F00-000080280000}"/>
              </a:ext>
            </a:extLst>
          </xdr:cNvPr>
          <xdr:cNvSpPr>
            <a:spLocks noChangeArrowheads="1"/>
          </xdr:cNvSpPr>
        </xdr:nvSpPr>
        <xdr:spPr bwMode="auto">
          <a:xfrm>
            <a:off x="2152650" y="6600825"/>
            <a:ext cx="371475" cy="4505325"/>
          </a:xfrm>
          <a:prstGeom prst="rect">
            <a:avLst/>
          </a:prstGeom>
          <a:solidFill>
            <a:srgbClr val="69FFFF"/>
          </a:solidFill>
          <a:ln w="19050">
            <a:solidFill>
              <a:srgbClr val="000000"/>
            </a:solidFill>
            <a:miter lim="800000"/>
            <a:headEnd/>
            <a:tailEnd/>
          </a:ln>
        </xdr:spPr>
      </xdr:sp>
      <xdr:sp macro="" textlink="">
        <xdr:nvSpPr>
          <xdr:cNvPr id="10369" name="Line 423">
            <a:extLst>
              <a:ext uri="{FF2B5EF4-FFF2-40B4-BE49-F238E27FC236}">
                <a16:creationId xmlns:a16="http://schemas.microsoft.com/office/drawing/2014/main" id="{00000000-0008-0000-0F00-000081280000}"/>
              </a:ext>
            </a:extLst>
          </xdr:cNvPr>
          <xdr:cNvSpPr>
            <a:spLocks noChangeShapeType="1"/>
          </xdr:cNvSpPr>
        </xdr:nvSpPr>
        <xdr:spPr bwMode="auto">
          <a:xfrm>
            <a:off x="619125" y="8477250"/>
            <a:ext cx="0" cy="3009900"/>
          </a:xfrm>
          <a:prstGeom prst="line">
            <a:avLst/>
          </a:prstGeom>
          <a:noFill/>
          <a:ln w="9525">
            <a:solidFill>
              <a:srgbClr val="000000"/>
            </a:solidFill>
            <a:round/>
            <a:headEnd/>
            <a:tailEnd/>
          </a:ln>
        </xdr:spPr>
      </xdr:sp>
      <xdr:sp macro="" textlink="">
        <xdr:nvSpPr>
          <xdr:cNvPr id="10370" name="Line 425">
            <a:extLst>
              <a:ext uri="{FF2B5EF4-FFF2-40B4-BE49-F238E27FC236}">
                <a16:creationId xmlns:a16="http://schemas.microsoft.com/office/drawing/2014/main" id="{00000000-0008-0000-0F00-000082280000}"/>
              </a:ext>
            </a:extLst>
          </xdr:cNvPr>
          <xdr:cNvSpPr>
            <a:spLocks noChangeShapeType="1"/>
          </xdr:cNvSpPr>
        </xdr:nvSpPr>
        <xdr:spPr bwMode="auto">
          <a:xfrm flipV="1">
            <a:off x="628650" y="7400925"/>
            <a:ext cx="1885950" cy="1085850"/>
          </a:xfrm>
          <a:prstGeom prst="line">
            <a:avLst/>
          </a:prstGeom>
          <a:noFill/>
          <a:ln w="9525">
            <a:solidFill>
              <a:srgbClr val="000000"/>
            </a:solidFill>
            <a:round/>
            <a:headEnd/>
            <a:tailEnd/>
          </a:ln>
        </xdr:spPr>
      </xdr:sp>
      <xdr:sp macro="" textlink="">
        <xdr:nvSpPr>
          <xdr:cNvPr id="10371" name="Line 426">
            <a:extLst>
              <a:ext uri="{FF2B5EF4-FFF2-40B4-BE49-F238E27FC236}">
                <a16:creationId xmlns:a16="http://schemas.microsoft.com/office/drawing/2014/main" id="{00000000-0008-0000-0F00-000083280000}"/>
              </a:ext>
            </a:extLst>
          </xdr:cNvPr>
          <xdr:cNvSpPr>
            <a:spLocks noChangeShapeType="1"/>
          </xdr:cNvSpPr>
        </xdr:nvSpPr>
        <xdr:spPr bwMode="auto">
          <a:xfrm flipV="1">
            <a:off x="619125" y="10401300"/>
            <a:ext cx="1885950" cy="1085850"/>
          </a:xfrm>
          <a:prstGeom prst="line">
            <a:avLst/>
          </a:prstGeom>
          <a:noFill/>
          <a:ln w="9525">
            <a:solidFill>
              <a:srgbClr val="000000"/>
            </a:solidFill>
            <a:round/>
            <a:headEnd/>
            <a:tailEnd/>
          </a:ln>
        </xdr:spPr>
      </xdr:sp>
      <xdr:sp macro="" textlink="">
        <xdr:nvSpPr>
          <xdr:cNvPr id="10372" name="Line 427">
            <a:extLst>
              <a:ext uri="{FF2B5EF4-FFF2-40B4-BE49-F238E27FC236}">
                <a16:creationId xmlns:a16="http://schemas.microsoft.com/office/drawing/2014/main" id="{00000000-0008-0000-0F00-000084280000}"/>
              </a:ext>
            </a:extLst>
          </xdr:cNvPr>
          <xdr:cNvSpPr>
            <a:spLocks noChangeShapeType="1"/>
          </xdr:cNvSpPr>
        </xdr:nvSpPr>
        <xdr:spPr bwMode="auto">
          <a:xfrm>
            <a:off x="2514600" y="7400925"/>
            <a:ext cx="0" cy="3009900"/>
          </a:xfrm>
          <a:prstGeom prst="line">
            <a:avLst/>
          </a:prstGeom>
          <a:noFill/>
          <a:ln w="9525">
            <a:solidFill>
              <a:srgbClr val="000000"/>
            </a:solidFill>
            <a:round/>
            <a:headEnd/>
            <a:tailEnd/>
          </a:ln>
        </xdr:spPr>
      </xdr:sp>
      <xdr:sp macro="" textlink="">
        <xdr:nvSpPr>
          <xdr:cNvPr id="10373" name="Line 433">
            <a:extLst>
              <a:ext uri="{FF2B5EF4-FFF2-40B4-BE49-F238E27FC236}">
                <a16:creationId xmlns:a16="http://schemas.microsoft.com/office/drawing/2014/main" id="{00000000-0008-0000-0F00-000085280000}"/>
              </a:ext>
            </a:extLst>
          </xdr:cNvPr>
          <xdr:cNvSpPr>
            <a:spLocks noChangeShapeType="1"/>
          </xdr:cNvSpPr>
        </xdr:nvSpPr>
        <xdr:spPr bwMode="auto">
          <a:xfrm flipV="1">
            <a:off x="2152650" y="6638925"/>
            <a:ext cx="0" cy="247650"/>
          </a:xfrm>
          <a:prstGeom prst="line">
            <a:avLst/>
          </a:prstGeom>
          <a:noFill/>
          <a:ln w="9525">
            <a:solidFill>
              <a:srgbClr val="000000"/>
            </a:solidFill>
            <a:round/>
            <a:headEnd/>
            <a:tailEnd/>
          </a:ln>
        </xdr:spPr>
      </xdr:sp>
      <xdr:sp macro="" textlink="">
        <xdr:nvSpPr>
          <xdr:cNvPr id="10374" name="Line 435">
            <a:extLst>
              <a:ext uri="{FF2B5EF4-FFF2-40B4-BE49-F238E27FC236}">
                <a16:creationId xmlns:a16="http://schemas.microsoft.com/office/drawing/2014/main" id="{00000000-0008-0000-0F00-000086280000}"/>
              </a:ext>
            </a:extLst>
          </xdr:cNvPr>
          <xdr:cNvSpPr>
            <a:spLocks noChangeShapeType="1"/>
          </xdr:cNvSpPr>
        </xdr:nvSpPr>
        <xdr:spPr bwMode="auto">
          <a:xfrm flipV="1">
            <a:off x="2152650" y="10382250"/>
            <a:ext cx="381000" cy="514350"/>
          </a:xfrm>
          <a:prstGeom prst="line">
            <a:avLst/>
          </a:prstGeom>
          <a:noFill/>
          <a:ln w="9525">
            <a:solidFill>
              <a:srgbClr val="000000"/>
            </a:solidFill>
            <a:round/>
            <a:headEnd/>
            <a:tailEnd/>
          </a:ln>
        </xdr:spPr>
      </xdr:sp>
      <xdr:sp macro="" textlink="">
        <xdr:nvSpPr>
          <xdr:cNvPr id="10375" name="Line 445">
            <a:extLst>
              <a:ext uri="{FF2B5EF4-FFF2-40B4-BE49-F238E27FC236}">
                <a16:creationId xmlns:a16="http://schemas.microsoft.com/office/drawing/2014/main" id="{00000000-0008-0000-0F00-000087280000}"/>
              </a:ext>
            </a:extLst>
          </xdr:cNvPr>
          <xdr:cNvSpPr>
            <a:spLocks noChangeShapeType="1"/>
          </xdr:cNvSpPr>
        </xdr:nvSpPr>
        <xdr:spPr bwMode="auto">
          <a:xfrm flipH="1">
            <a:off x="2524125" y="7353300"/>
            <a:ext cx="0" cy="3086100"/>
          </a:xfrm>
          <a:prstGeom prst="line">
            <a:avLst/>
          </a:prstGeom>
          <a:noFill/>
          <a:ln w="19050">
            <a:solidFill>
              <a:srgbClr val="000000"/>
            </a:solidFill>
            <a:round/>
            <a:headEnd/>
            <a:tailEnd/>
          </a:ln>
        </xdr:spPr>
      </xdr:sp>
      <xdr:sp macro="" textlink="">
        <xdr:nvSpPr>
          <xdr:cNvPr id="10377" name="Freeform 192">
            <a:extLst>
              <a:ext uri="{FF2B5EF4-FFF2-40B4-BE49-F238E27FC236}">
                <a16:creationId xmlns:a16="http://schemas.microsoft.com/office/drawing/2014/main" id="{00000000-0008-0000-0F00-000089280000}"/>
              </a:ext>
            </a:extLst>
          </xdr:cNvPr>
          <xdr:cNvSpPr>
            <a:spLocks/>
          </xdr:cNvSpPr>
        </xdr:nvSpPr>
        <xdr:spPr bwMode="auto">
          <a:xfrm>
            <a:off x="609600" y="7058025"/>
            <a:ext cx="1876425" cy="4705350"/>
          </a:xfrm>
          <a:custGeom>
            <a:avLst/>
            <a:gdLst>
              <a:gd name="T0" fmla="*/ 0 w 197"/>
              <a:gd name="T1" fmla="*/ 2147483647 h 494"/>
              <a:gd name="T2" fmla="*/ 0 w 197"/>
              <a:gd name="T3" fmla="*/ 2147483647 h 494"/>
              <a:gd name="T4" fmla="*/ 0 w 197"/>
              <a:gd name="T5" fmla="*/ 2147483647 h 494"/>
              <a:gd name="T6" fmla="*/ 90725634 w 197"/>
              <a:gd name="T7" fmla="*/ 2147483647 h 494"/>
              <a:gd name="T8" fmla="*/ 725805073 w 197"/>
              <a:gd name="T9" fmla="*/ 2147483647 h 494"/>
              <a:gd name="T10" fmla="*/ 2086689324 w 197"/>
              <a:gd name="T11" fmla="*/ 2147483647 h 494"/>
              <a:gd name="T12" fmla="*/ 2147483647 w 197"/>
              <a:gd name="T13" fmla="*/ 2147483647 h 494"/>
              <a:gd name="T14" fmla="*/ 2147483647 w 197"/>
              <a:gd name="T15" fmla="*/ 2147483647 h 494"/>
              <a:gd name="T16" fmla="*/ 2147483647 w 197"/>
              <a:gd name="T17" fmla="*/ 2147483647 h 494"/>
              <a:gd name="T18" fmla="*/ 2147483647 w 197"/>
              <a:gd name="T19" fmla="*/ 1179433131 h 494"/>
              <a:gd name="T20" fmla="*/ 2147483647 w 197"/>
              <a:gd name="T21" fmla="*/ 362902559 h 494"/>
              <a:gd name="T22" fmla="*/ 2147483647 w 197"/>
              <a:gd name="T23" fmla="*/ 0 h 494"/>
              <a:gd name="T24" fmla="*/ 2147483647 w 197"/>
              <a:gd name="T25" fmla="*/ 0 h 494"/>
              <a:gd name="T26" fmla="*/ 2147483647 w 197"/>
              <a:gd name="T27" fmla="*/ 2147483647 h 494"/>
              <a:gd name="T28" fmla="*/ 2147483647 w 197"/>
              <a:gd name="T29" fmla="*/ 2147483647 h 494"/>
              <a:gd name="T30" fmla="*/ 2147483647 w 197"/>
              <a:gd name="T31" fmla="*/ 2147483647 h 494"/>
              <a:gd name="T32" fmla="*/ 2147483647 w 197"/>
              <a:gd name="T33" fmla="*/ 2147483647 h 494"/>
              <a:gd name="T34" fmla="*/ 1633061339 w 197"/>
              <a:gd name="T35" fmla="*/ 2147483647 h 494"/>
              <a:gd name="T36" fmla="*/ 453628133 w 197"/>
              <a:gd name="T37" fmla="*/ 2147483647 h 494"/>
              <a:gd name="T38" fmla="*/ 90725634 w 197"/>
              <a:gd name="T39" fmla="*/ 2147483647 h 494"/>
              <a:gd name="T40" fmla="*/ 0 w 197"/>
              <a:gd name="T41" fmla="*/ 2147483647 h 494"/>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97"/>
              <a:gd name="T64" fmla="*/ 0 h 494"/>
              <a:gd name="T65" fmla="*/ 197 w 197"/>
              <a:gd name="T66" fmla="*/ 494 h 494"/>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97" h="494">
                <a:moveTo>
                  <a:pt x="0" y="188"/>
                </a:moveTo>
                <a:lnTo>
                  <a:pt x="0" y="172"/>
                </a:lnTo>
                <a:lnTo>
                  <a:pt x="0" y="121"/>
                </a:lnTo>
                <a:lnTo>
                  <a:pt x="1" y="109"/>
                </a:lnTo>
                <a:lnTo>
                  <a:pt x="8" y="106"/>
                </a:lnTo>
                <a:lnTo>
                  <a:pt x="23" y="97"/>
                </a:lnTo>
                <a:lnTo>
                  <a:pt x="77" y="67"/>
                </a:lnTo>
                <a:lnTo>
                  <a:pt x="120" y="42"/>
                </a:lnTo>
                <a:lnTo>
                  <a:pt x="146" y="27"/>
                </a:lnTo>
                <a:lnTo>
                  <a:pt x="172" y="13"/>
                </a:lnTo>
                <a:lnTo>
                  <a:pt x="186" y="4"/>
                </a:lnTo>
                <a:lnTo>
                  <a:pt x="194" y="0"/>
                </a:lnTo>
                <a:lnTo>
                  <a:pt x="197" y="0"/>
                </a:lnTo>
                <a:lnTo>
                  <a:pt x="196" y="72"/>
                </a:lnTo>
                <a:lnTo>
                  <a:pt x="196" y="343"/>
                </a:lnTo>
                <a:lnTo>
                  <a:pt x="196" y="393"/>
                </a:lnTo>
                <a:lnTo>
                  <a:pt x="190" y="397"/>
                </a:lnTo>
                <a:lnTo>
                  <a:pt x="18" y="491"/>
                </a:lnTo>
                <a:lnTo>
                  <a:pt x="5" y="494"/>
                </a:lnTo>
                <a:lnTo>
                  <a:pt x="1" y="492"/>
                </a:lnTo>
                <a:lnTo>
                  <a:pt x="0" y="188"/>
                </a:lnTo>
                <a:close/>
              </a:path>
            </a:pathLst>
          </a:custGeom>
          <a:gradFill rotWithShape="1">
            <a:gsLst>
              <a:gs pos="0">
                <a:srgbClr val="FFFFFF"/>
              </a:gs>
              <a:gs pos="100000">
                <a:srgbClr val="69FFFF"/>
              </a:gs>
            </a:gsLst>
            <a:lin ang="2700000" scaled="1"/>
          </a:gradFill>
          <a:ln w="57150" cmpd="sng">
            <a:solidFill>
              <a:srgbClr val="A6CAF0"/>
            </a:solidFill>
            <a:round/>
            <a:headEnd/>
            <a:tailEnd/>
          </a:ln>
        </xdr:spPr>
      </xdr:sp>
      <xdr:sp macro="" textlink="">
        <xdr:nvSpPr>
          <xdr:cNvPr id="10378" name="Rectangle 193">
            <a:extLst>
              <a:ext uri="{FF2B5EF4-FFF2-40B4-BE49-F238E27FC236}">
                <a16:creationId xmlns:a16="http://schemas.microsoft.com/office/drawing/2014/main" id="{00000000-0008-0000-0F00-00008A280000}"/>
              </a:ext>
            </a:extLst>
          </xdr:cNvPr>
          <xdr:cNvSpPr>
            <a:spLocks noChangeArrowheads="1"/>
          </xdr:cNvSpPr>
        </xdr:nvSpPr>
        <xdr:spPr bwMode="auto">
          <a:xfrm>
            <a:off x="2590800" y="6657975"/>
            <a:ext cx="371475" cy="4572000"/>
          </a:xfrm>
          <a:prstGeom prst="rect">
            <a:avLst/>
          </a:prstGeom>
          <a:solidFill>
            <a:srgbClr val="69FFFF"/>
          </a:solidFill>
          <a:ln w="19050">
            <a:solidFill>
              <a:srgbClr val="000000"/>
            </a:solidFill>
            <a:miter lim="800000"/>
            <a:headEnd/>
            <a:tailEnd/>
          </a:ln>
        </xdr:spPr>
      </xdr:sp>
      <xdr:sp macro="" textlink="">
        <xdr:nvSpPr>
          <xdr:cNvPr id="10379" name="Line 423">
            <a:extLst>
              <a:ext uri="{FF2B5EF4-FFF2-40B4-BE49-F238E27FC236}">
                <a16:creationId xmlns:a16="http://schemas.microsoft.com/office/drawing/2014/main" id="{00000000-0008-0000-0F00-00008B280000}"/>
              </a:ext>
            </a:extLst>
          </xdr:cNvPr>
          <xdr:cNvSpPr>
            <a:spLocks noChangeShapeType="1"/>
          </xdr:cNvSpPr>
        </xdr:nvSpPr>
        <xdr:spPr bwMode="auto">
          <a:xfrm>
            <a:off x="1057275" y="8534400"/>
            <a:ext cx="0" cy="3009900"/>
          </a:xfrm>
          <a:prstGeom prst="line">
            <a:avLst/>
          </a:prstGeom>
          <a:noFill/>
          <a:ln w="9525">
            <a:solidFill>
              <a:srgbClr val="000000"/>
            </a:solidFill>
            <a:round/>
            <a:headEnd/>
            <a:tailEnd/>
          </a:ln>
        </xdr:spPr>
      </xdr:sp>
      <xdr:sp macro="" textlink="">
        <xdr:nvSpPr>
          <xdr:cNvPr id="10380" name="Line 424">
            <a:extLst>
              <a:ext uri="{FF2B5EF4-FFF2-40B4-BE49-F238E27FC236}">
                <a16:creationId xmlns:a16="http://schemas.microsoft.com/office/drawing/2014/main" id="{00000000-0008-0000-0F00-00008C280000}"/>
              </a:ext>
            </a:extLst>
          </xdr:cNvPr>
          <xdr:cNvSpPr>
            <a:spLocks noChangeShapeType="1"/>
          </xdr:cNvSpPr>
        </xdr:nvSpPr>
        <xdr:spPr bwMode="auto">
          <a:xfrm>
            <a:off x="609600" y="7991475"/>
            <a:ext cx="0" cy="4248150"/>
          </a:xfrm>
          <a:prstGeom prst="line">
            <a:avLst/>
          </a:prstGeom>
          <a:noFill/>
          <a:ln w="9525">
            <a:solidFill>
              <a:srgbClr val="000000"/>
            </a:solidFill>
            <a:round/>
            <a:headEnd/>
            <a:tailEnd/>
          </a:ln>
        </xdr:spPr>
      </xdr:sp>
      <xdr:sp macro="" textlink="">
        <xdr:nvSpPr>
          <xdr:cNvPr id="10381" name="Line 425">
            <a:extLst>
              <a:ext uri="{FF2B5EF4-FFF2-40B4-BE49-F238E27FC236}">
                <a16:creationId xmlns:a16="http://schemas.microsoft.com/office/drawing/2014/main" id="{00000000-0008-0000-0F00-00008D280000}"/>
              </a:ext>
            </a:extLst>
          </xdr:cNvPr>
          <xdr:cNvSpPr>
            <a:spLocks noChangeShapeType="1"/>
          </xdr:cNvSpPr>
        </xdr:nvSpPr>
        <xdr:spPr bwMode="auto">
          <a:xfrm flipV="1">
            <a:off x="1066800" y="7458075"/>
            <a:ext cx="1885950" cy="1085850"/>
          </a:xfrm>
          <a:prstGeom prst="line">
            <a:avLst/>
          </a:prstGeom>
          <a:noFill/>
          <a:ln w="9525">
            <a:solidFill>
              <a:srgbClr val="000000"/>
            </a:solidFill>
            <a:round/>
            <a:headEnd/>
            <a:tailEnd/>
          </a:ln>
        </xdr:spPr>
      </xdr:sp>
      <xdr:sp macro="" textlink="">
        <xdr:nvSpPr>
          <xdr:cNvPr id="10382" name="Line 426">
            <a:extLst>
              <a:ext uri="{FF2B5EF4-FFF2-40B4-BE49-F238E27FC236}">
                <a16:creationId xmlns:a16="http://schemas.microsoft.com/office/drawing/2014/main" id="{00000000-0008-0000-0F00-00008E280000}"/>
              </a:ext>
            </a:extLst>
          </xdr:cNvPr>
          <xdr:cNvSpPr>
            <a:spLocks noChangeShapeType="1"/>
          </xdr:cNvSpPr>
        </xdr:nvSpPr>
        <xdr:spPr bwMode="auto">
          <a:xfrm flipV="1">
            <a:off x="1057275" y="10458450"/>
            <a:ext cx="1885950" cy="1085850"/>
          </a:xfrm>
          <a:prstGeom prst="line">
            <a:avLst/>
          </a:prstGeom>
          <a:noFill/>
          <a:ln w="9525">
            <a:solidFill>
              <a:srgbClr val="000000"/>
            </a:solidFill>
            <a:round/>
            <a:headEnd/>
            <a:tailEnd/>
          </a:ln>
        </xdr:spPr>
      </xdr:sp>
      <xdr:sp macro="" textlink="">
        <xdr:nvSpPr>
          <xdr:cNvPr id="10383" name="Line 427">
            <a:extLst>
              <a:ext uri="{FF2B5EF4-FFF2-40B4-BE49-F238E27FC236}">
                <a16:creationId xmlns:a16="http://schemas.microsoft.com/office/drawing/2014/main" id="{00000000-0008-0000-0F00-00008F280000}"/>
              </a:ext>
            </a:extLst>
          </xdr:cNvPr>
          <xdr:cNvSpPr>
            <a:spLocks noChangeShapeType="1"/>
          </xdr:cNvSpPr>
        </xdr:nvSpPr>
        <xdr:spPr bwMode="auto">
          <a:xfrm>
            <a:off x="2952750" y="7458075"/>
            <a:ext cx="0" cy="3009900"/>
          </a:xfrm>
          <a:prstGeom prst="line">
            <a:avLst/>
          </a:prstGeom>
          <a:noFill/>
          <a:ln w="9525">
            <a:solidFill>
              <a:srgbClr val="000000"/>
            </a:solidFill>
            <a:round/>
            <a:headEnd/>
            <a:tailEnd/>
          </a:ln>
        </xdr:spPr>
      </xdr:sp>
      <xdr:sp macro="" textlink="">
        <xdr:nvSpPr>
          <xdr:cNvPr id="10384" name="Line 428">
            <a:extLst>
              <a:ext uri="{FF2B5EF4-FFF2-40B4-BE49-F238E27FC236}">
                <a16:creationId xmlns:a16="http://schemas.microsoft.com/office/drawing/2014/main" id="{00000000-0008-0000-0F00-000090280000}"/>
              </a:ext>
            </a:extLst>
          </xdr:cNvPr>
          <xdr:cNvSpPr>
            <a:spLocks noChangeShapeType="1"/>
          </xdr:cNvSpPr>
        </xdr:nvSpPr>
        <xdr:spPr bwMode="auto">
          <a:xfrm flipV="1">
            <a:off x="714375" y="6943725"/>
            <a:ext cx="1885950" cy="1085850"/>
          </a:xfrm>
          <a:prstGeom prst="line">
            <a:avLst/>
          </a:prstGeom>
          <a:noFill/>
          <a:ln w="9525">
            <a:solidFill>
              <a:srgbClr val="000000"/>
            </a:solidFill>
            <a:round/>
            <a:headEnd/>
            <a:tailEnd/>
          </a:ln>
        </xdr:spPr>
      </xdr:sp>
      <xdr:sp macro="" textlink="">
        <xdr:nvSpPr>
          <xdr:cNvPr id="10385" name="Line 429">
            <a:extLst>
              <a:ext uri="{FF2B5EF4-FFF2-40B4-BE49-F238E27FC236}">
                <a16:creationId xmlns:a16="http://schemas.microsoft.com/office/drawing/2014/main" id="{00000000-0008-0000-0F00-000091280000}"/>
              </a:ext>
            </a:extLst>
          </xdr:cNvPr>
          <xdr:cNvSpPr>
            <a:spLocks noChangeShapeType="1"/>
          </xdr:cNvSpPr>
        </xdr:nvSpPr>
        <xdr:spPr bwMode="auto">
          <a:xfrm flipH="1" flipV="1">
            <a:off x="704850" y="8039100"/>
            <a:ext cx="352425" cy="495300"/>
          </a:xfrm>
          <a:prstGeom prst="line">
            <a:avLst/>
          </a:prstGeom>
          <a:noFill/>
          <a:ln w="9525">
            <a:solidFill>
              <a:srgbClr val="000000"/>
            </a:solidFill>
            <a:round/>
            <a:headEnd/>
            <a:tailEnd/>
          </a:ln>
        </xdr:spPr>
      </xdr:sp>
      <xdr:sp macro="" textlink="">
        <xdr:nvSpPr>
          <xdr:cNvPr id="10386" name="Line 430">
            <a:extLst>
              <a:ext uri="{FF2B5EF4-FFF2-40B4-BE49-F238E27FC236}">
                <a16:creationId xmlns:a16="http://schemas.microsoft.com/office/drawing/2014/main" id="{00000000-0008-0000-0F00-000092280000}"/>
              </a:ext>
            </a:extLst>
          </xdr:cNvPr>
          <xdr:cNvSpPr>
            <a:spLocks noChangeShapeType="1"/>
          </xdr:cNvSpPr>
        </xdr:nvSpPr>
        <xdr:spPr bwMode="auto">
          <a:xfrm flipV="1">
            <a:off x="704850" y="7762875"/>
            <a:ext cx="0" cy="266700"/>
          </a:xfrm>
          <a:prstGeom prst="line">
            <a:avLst/>
          </a:prstGeom>
          <a:noFill/>
          <a:ln w="9525">
            <a:solidFill>
              <a:srgbClr val="000000"/>
            </a:solidFill>
            <a:round/>
            <a:headEnd/>
            <a:tailEnd/>
          </a:ln>
        </xdr:spPr>
      </xdr:sp>
      <xdr:sp macro="" textlink="">
        <xdr:nvSpPr>
          <xdr:cNvPr id="10387" name="Line 431">
            <a:extLst>
              <a:ext uri="{FF2B5EF4-FFF2-40B4-BE49-F238E27FC236}">
                <a16:creationId xmlns:a16="http://schemas.microsoft.com/office/drawing/2014/main" id="{00000000-0008-0000-0F00-000093280000}"/>
              </a:ext>
            </a:extLst>
          </xdr:cNvPr>
          <xdr:cNvSpPr>
            <a:spLocks noChangeShapeType="1"/>
          </xdr:cNvSpPr>
        </xdr:nvSpPr>
        <xdr:spPr bwMode="auto">
          <a:xfrm flipV="1">
            <a:off x="609600" y="7772400"/>
            <a:ext cx="0" cy="266700"/>
          </a:xfrm>
          <a:prstGeom prst="line">
            <a:avLst/>
          </a:prstGeom>
          <a:noFill/>
          <a:ln w="9525">
            <a:solidFill>
              <a:srgbClr val="000000"/>
            </a:solidFill>
            <a:round/>
            <a:headEnd/>
            <a:tailEnd/>
          </a:ln>
        </xdr:spPr>
      </xdr:sp>
      <xdr:sp macro="" textlink="">
        <xdr:nvSpPr>
          <xdr:cNvPr id="10388" name="Line 432">
            <a:extLst>
              <a:ext uri="{FF2B5EF4-FFF2-40B4-BE49-F238E27FC236}">
                <a16:creationId xmlns:a16="http://schemas.microsoft.com/office/drawing/2014/main" id="{00000000-0008-0000-0F00-000094280000}"/>
              </a:ext>
            </a:extLst>
          </xdr:cNvPr>
          <xdr:cNvSpPr>
            <a:spLocks noChangeShapeType="1"/>
          </xdr:cNvSpPr>
        </xdr:nvSpPr>
        <xdr:spPr bwMode="auto">
          <a:xfrm flipV="1">
            <a:off x="714375" y="6686550"/>
            <a:ext cx="1885950" cy="1085850"/>
          </a:xfrm>
          <a:prstGeom prst="line">
            <a:avLst/>
          </a:prstGeom>
          <a:noFill/>
          <a:ln w="9525">
            <a:solidFill>
              <a:srgbClr val="000000"/>
            </a:solidFill>
            <a:round/>
            <a:headEnd/>
            <a:tailEnd/>
          </a:ln>
        </xdr:spPr>
      </xdr:sp>
      <xdr:sp macro="" textlink="">
        <xdr:nvSpPr>
          <xdr:cNvPr id="10389" name="Line 433">
            <a:extLst>
              <a:ext uri="{FF2B5EF4-FFF2-40B4-BE49-F238E27FC236}">
                <a16:creationId xmlns:a16="http://schemas.microsoft.com/office/drawing/2014/main" id="{00000000-0008-0000-0F00-000095280000}"/>
              </a:ext>
            </a:extLst>
          </xdr:cNvPr>
          <xdr:cNvSpPr>
            <a:spLocks noChangeShapeType="1"/>
          </xdr:cNvSpPr>
        </xdr:nvSpPr>
        <xdr:spPr bwMode="auto">
          <a:xfrm flipV="1">
            <a:off x="2590800" y="6696075"/>
            <a:ext cx="0" cy="247650"/>
          </a:xfrm>
          <a:prstGeom prst="line">
            <a:avLst/>
          </a:prstGeom>
          <a:noFill/>
          <a:ln w="9525">
            <a:solidFill>
              <a:srgbClr val="000000"/>
            </a:solidFill>
            <a:round/>
            <a:headEnd/>
            <a:tailEnd/>
          </a:ln>
        </xdr:spPr>
      </xdr:sp>
      <xdr:sp macro="" textlink="">
        <xdr:nvSpPr>
          <xdr:cNvPr id="10390" name="Line 434">
            <a:extLst>
              <a:ext uri="{FF2B5EF4-FFF2-40B4-BE49-F238E27FC236}">
                <a16:creationId xmlns:a16="http://schemas.microsoft.com/office/drawing/2014/main" id="{00000000-0008-0000-0F00-000096280000}"/>
              </a:ext>
            </a:extLst>
          </xdr:cNvPr>
          <xdr:cNvSpPr>
            <a:spLocks noChangeShapeType="1"/>
          </xdr:cNvSpPr>
        </xdr:nvSpPr>
        <xdr:spPr bwMode="auto">
          <a:xfrm flipV="1">
            <a:off x="695325" y="10953750"/>
            <a:ext cx="1885950" cy="1085850"/>
          </a:xfrm>
          <a:prstGeom prst="line">
            <a:avLst/>
          </a:prstGeom>
          <a:noFill/>
          <a:ln w="9525">
            <a:solidFill>
              <a:srgbClr val="000000"/>
            </a:solidFill>
            <a:round/>
            <a:headEnd/>
            <a:tailEnd/>
          </a:ln>
        </xdr:spPr>
      </xdr:sp>
      <xdr:sp macro="" textlink="">
        <xdr:nvSpPr>
          <xdr:cNvPr id="10391" name="Line 435">
            <a:extLst>
              <a:ext uri="{FF2B5EF4-FFF2-40B4-BE49-F238E27FC236}">
                <a16:creationId xmlns:a16="http://schemas.microsoft.com/office/drawing/2014/main" id="{00000000-0008-0000-0F00-000097280000}"/>
              </a:ext>
            </a:extLst>
          </xdr:cNvPr>
          <xdr:cNvSpPr>
            <a:spLocks noChangeShapeType="1"/>
          </xdr:cNvSpPr>
        </xdr:nvSpPr>
        <xdr:spPr bwMode="auto">
          <a:xfrm flipV="1">
            <a:off x="2562225" y="10439400"/>
            <a:ext cx="381000" cy="514350"/>
          </a:xfrm>
          <a:prstGeom prst="line">
            <a:avLst/>
          </a:prstGeom>
          <a:noFill/>
          <a:ln w="9525">
            <a:solidFill>
              <a:srgbClr val="000000"/>
            </a:solidFill>
            <a:round/>
            <a:headEnd/>
            <a:tailEnd/>
          </a:ln>
        </xdr:spPr>
      </xdr:sp>
      <xdr:sp macro="" textlink="">
        <xdr:nvSpPr>
          <xdr:cNvPr id="10392" name="Freeform 207">
            <a:extLst>
              <a:ext uri="{FF2B5EF4-FFF2-40B4-BE49-F238E27FC236}">
                <a16:creationId xmlns:a16="http://schemas.microsoft.com/office/drawing/2014/main" id="{00000000-0008-0000-0F00-000098280000}"/>
              </a:ext>
            </a:extLst>
          </xdr:cNvPr>
          <xdr:cNvSpPr>
            <a:spLocks/>
          </xdr:cNvSpPr>
        </xdr:nvSpPr>
        <xdr:spPr bwMode="auto">
          <a:xfrm>
            <a:off x="771525" y="6953250"/>
            <a:ext cx="2105025" cy="1190625"/>
          </a:xfrm>
          <a:custGeom>
            <a:avLst/>
            <a:gdLst>
              <a:gd name="T0" fmla="*/ 2147483647 w 221"/>
              <a:gd name="T1" fmla="*/ 2147483647 h 125"/>
              <a:gd name="T2" fmla="*/ 2147483647 w 221"/>
              <a:gd name="T3" fmla="*/ 2147483647 h 125"/>
              <a:gd name="T4" fmla="*/ 2147483647 w 221"/>
              <a:gd name="T5" fmla="*/ 2086689461 h 125"/>
              <a:gd name="T6" fmla="*/ 2147483647 w 221"/>
              <a:gd name="T7" fmla="*/ 1542335844 h 125"/>
              <a:gd name="T8" fmla="*/ 2147483647 w 221"/>
              <a:gd name="T9" fmla="*/ 1179433135 h 125"/>
              <a:gd name="T10" fmla="*/ 2147483647 w 221"/>
              <a:gd name="T11" fmla="*/ 725805120 h 125"/>
              <a:gd name="T12" fmla="*/ 2147483647 w 221"/>
              <a:gd name="T13" fmla="*/ 0 h 125"/>
              <a:gd name="T14" fmla="*/ 0 w 221"/>
              <a:gd name="T15" fmla="*/ 2147483647 h 125"/>
              <a:gd name="T16" fmla="*/ 2147483647 w 221"/>
              <a:gd name="T17" fmla="*/ 2147483647 h 125"/>
              <a:gd name="T18" fmla="*/ 2147483647 w 221"/>
              <a:gd name="T19" fmla="*/ 2147483647 h 125"/>
              <a:gd name="T20" fmla="*/ 2147483647 w 221"/>
              <a:gd name="T21" fmla="*/ 2147483647 h 12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221"/>
              <a:gd name="T34" fmla="*/ 0 h 125"/>
              <a:gd name="T35" fmla="*/ 221 w 221"/>
              <a:gd name="T36" fmla="*/ 125 h 12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221" h="125">
                <a:moveTo>
                  <a:pt x="45" y="117"/>
                </a:moveTo>
                <a:lnTo>
                  <a:pt x="198" y="30"/>
                </a:lnTo>
                <a:lnTo>
                  <a:pt x="211" y="23"/>
                </a:lnTo>
                <a:lnTo>
                  <a:pt x="221" y="17"/>
                </a:lnTo>
                <a:lnTo>
                  <a:pt x="212" y="13"/>
                </a:lnTo>
                <a:lnTo>
                  <a:pt x="192" y="8"/>
                </a:lnTo>
                <a:lnTo>
                  <a:pt x="192" y="0"/>
                </a:lnTo>
                <a:lnTo>
                  <a:pt x="0" y="107"/>
                </a:lnTo>
                <a:lnTo>
                  <a:pt x="30" y="125"/>
                </a:lnTo>
                <a:lnTo>
                  <a:pt x="36" y="122"/>
                </a:lnTo>
                <a:lnTo>
                  <a:pt x="45" y="117"/>
                </a:lnTo>
                <a:close/>
              </a:path>
            </a:pathLst>
          </a:custGeom>
          <a:gradFill rotWithShape="1">
            <a:gsLst>
              <a:gs pos="0">
                <a:srgbClr val="FFFFFF"/>
              </a:gs>
              <a:gs pos="100000">
                <a:srgbClr val="69FFFF"/>
              </a:gs>
            </a:gsLst>
            <a:lin ang="5400000" scaled="1"/>
          </a:gradFill>
          <a:ln w="57150" cmpd="sng">
            <a:solidFill>
              <a:srgbClr val="A6CAF0"/>
            </a:solidFill>
            <a:round/>
            <a:headEnd/>
            <a:tailEnd/>
          </a:ln>
        </xdr:spPr>
      </xdr:sp>
      <xdr:sp macro="" textlink="">
        <xdr:nvSpPr>
          <xdr:cNvPr id="10393" name="Freeform 208">
            <a:extLst>
              <a:ext uri="{FF2B5EF4-FFF2-40B4-BE49-F238E27FC236}">
                <a16:creationId xmlns:a16="http://schemas.microsoft.com/office/drawing/2014/main" id="{00000000-0008-0000-0F00-000099280000}"/>
              </a:ext>
            </a:extLst>
          </xdr:cNvPr>
          <xdr:cNvSpPr>
            <a:spLocks/>
          </xdr:cNvSpPr>
        </xdr:nvSpPr>
        <xdr:spPr bwMode="auto">
          <a:xfrm>
            <a:off x="571500" y="6686550"/>
            <a:ext cx="2019300" cy="1276350"/>
          </a:xfrm>
          <a:custGeom>
            <a:avLst/>
            <a:gdLst>
              <a:gd name="T0" fmla="*/ 1270158980 w 212"/>
              <a:gd name="T1" fmla="*/ 2147483647 h 134"/>
              <a:gd name="T2" fmla="*/ 2147483647 w 212"/>
              <a:gd name="T3" fmla="*/ 2147483647 h 134"/>
              <a:gd name="T4" fmla="*/ 2147483647 w 212"/>
              <a:gd name="T5" fmla="*/ 2147483647 h 134"/>
              <a:gd name="T6" fmla="*/ 2147483647 w 212"/>
              <a:gd name="T7" fmla="*/ 0 h 134"/>
              <a:gd name="T8" fmla="*/ 0 w 212"/>
              <a:gd name="T9" fmla="*/ 2147483647 h 134"/>
              <a:gd name="T10" fmla="*/ 1270158980 w 212"/>
              <a:gd name="T11" fmla="*/ 2147483647 h 134"/>
              <a:gd name="T12" fmla="*/ 0 60000 65536"/>
              <a:gd name="T13" fmla="*/ 0 60000 65536"/>
              <a:gd name="T14" fmla="*/ 0 60000 65536"/>
              <a:gd name="T15" fmla="*/ 0 60000 65536"/>
              <a:gd name="T16" fmla="*/ 0 60000 65536"/>
              <a:gd name="T17" fmla="*/ 0 60000 65536"/>
              <a:gd name="T18" fmla="*/ 0 w 212"/>
              <a:gd name="T19" fmla="*/ 0 h 134"/>
              <a:gd name="T20" fmla="*/ 212 w 212"/>
              <a:gd name="T21" fmla="*/ 134 h 134"/>
            </a:gdLst>
            <a:ahLst/>
            <a:cxnLst>
              <a:cxn ang="T12">
                <a:pos x="T0" y="T1"/>
              </a:cxn>
              <a:cxn ang="T13">
                <a:pos x="T2" y="T3"/>
              </a:cxn>
              <a:cxn ang="T14">
                <a:pos x="T4" y="T5"/>
              </a:cxn>
              <a:cxn ang="T15">
                <a:pos x="T6" y="T7"/>
              </a:cxn>
              <a:cxn ang="T16">
                <a:pos x="T8" y="T9"/>
              </a:cxn>
              <a:cxn ang="T17">
                <a:pos x="T10" y="T11"/>
              </a:cxn>
            </a:cxnLst>
            <a:rect l="T18" t="T19" r="T20" b="T21"/>
            <a:pathLst>
              <a:path w="212" h="134">
                <a:moveTo>
                  <a:pt x="14" y="134"/>
                </a:moveTo>
                <a:lnTo>
                  <a:pt x="38" y="125"/>
                </a:lnTo>
                <a:lnTo>
                  <a:pt x="212" y="27"/>
                </a:lnTo>
                <a:lnTo>
                  <a:pt x="212" y="0"/>
                </a:lnTo>
                <a:lnTo>
                  <a:pt x="0" y="117"/>
                </a:lnTo>
                <a:lnTo>
                  <a:pt x="14" y="134"/>
                </a:lnTo>
                <a:close/>
              </a:path>
            </a:pathLst>
          </a:custGeom>
          <a:gradFill rotWithShape="1">
            <a:gsLst>
              <a:gs pos="0">
                <a:srgbClr val="69FFFF"/>
              </a:gs>
              <a:gs pos="100000">
                <a:srgbClr val="FFFFFF"/>
              </a:gs>
            </a:gsLst>
            <a:lin ang="5400000" scaled="1"/>
          </a:gradFill>
          <a:ln w="38100" cmpd="sng">
            <a:solidFill>
              <a:srgbClr val="A6CAF0"/>
            </a:solidFill>
            <a:round/>
            <a:headEnd/>
            <a:tailEnd/>
          </a:ln>
        </xdr:spPr>
      </xdr:sp>
      <xdr:sp macro="" textlink="">
        <xdr:nvSpPr>
          <xdr:cNvPr id="10394" name="Freeform 209">
            <a:extLst>
              <a:ext uri="{FF2B5EF4-FFF2-40B4-BE49-F238E27FC236}">
                <a16:creationId xmlns:a16="http://schemas.microsoft.com/office/drawing/2014/main" id="{00000000-0008-0000-0F00-00009A280000}"/>
              </a:ext>
            </a:extLst>
          </xdr:cNvPr>
          <xdr:cNvSpPr>
            <a:spLocks/>
          </xdr:cNvSpPr>
        </xdr:nvSpPr>
        <xdr:spPr bwMode="auto">
          <a:xfrm>
            <a:off x="885825" y="8058150"/>
            <a:ext cx="161925" cy="3838575"/>
          </a:xfrm>
          <a:custGeom>
            <a:avLst/>
            <a:gdLst>
              <a:gd name="T0" fmla="*/ 1360884360 w 17"/>
              <a:gd name="T1" fmla="*/ 2147483647 h 403"/>
              <a:gd name="T2" fmla="*/ 0 w 17"/>
              <a:gd name="T3" fmla="*/ 2147483647 h 403"/>
              <a:gd name="T4" fmla="*/ 90725621 w 17"/>
              <a:gd name="T5" fmla="*/ 0 h 403"/>
              <a:gd name="T6" fmla="*/ 1542335528 w 17"/>
              <a:gd name="T7" fmla="*/ 997981870 h 403"/>
              <a:gd name="T8" fmla="*/ 1451609944 w 17"/>
              <a:gd name="T9" fmla="*/ 2147483647 h 403"/>
              <a:gd name="T10" fmla="*/ 1360884360 w 17"/>
              <a:gd name="T11" fmla="*/ 2147483647 h 403"/>
              <a:gd name="T12" fmla="*/ 1360884360 w 17"/>
              <a:gd name="T13" fmla="*/ 2147483647 h 403"/>
              <a:gd name="T14" fmla="*/ 1360884360 w 17"/>
              <a:gd name="T15" fmla="*/ 2147483647 h 403"/>
              <a:gd name="T16" fmla="*/ 0 60000 65536"/>
              <a:gd name="T17" fmla="*/ 0 60000 65536"/>
              <a:gd name="T18" fmla="*/ 0 60000 65536"/>
              <a:gd name="T19" fmla="*/ 0 60000 65536"/>
              <a:gd name="T20" fmla="*/ 0 60000 65536"/>
              <a:gd name="T21" fmla="*/ 0 60000 65536"/>
              <a:gd name="T22" fmla="*/ 0 60000 65536"/>
              <a:gd name="T23" fmla="*/ 0 60000 65536"/>
              <a:gd name="T24" fmla="*/ 0 w 17"/>
              <a:gd name="T25" fmla="*/ 0 h 403"/>
              <a:gd name="T26" fmla="*/ 17 w 17"/>
              <a:gd name="T27" fmla="*/ 403 h 403"/>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7" h="403">
                <a:moveTo>
                  <a:pt x="15" y="395"/>
                </a:moveTo>
                <a:lnTo>
                  <a:pt x="0" y="403"/>
                </a:lnTo>
                <a:lnTo>
                  <a:pt x="1" y="0"/>
                </a:lnTo>
                <a:lnTo>
                  <a:pt x="17" y="11"/>
                </a:lnTo>
                <a:lnTo>
                  <a:pt x="16" y="60"/>
                </a:lnTo>
                <a:lnTo>
                  <a:pt x="15" y="351"/>
                </a:lnTo>
                <a:lnTo>
                  <a:pt x="15" y="367"/>
                </a:lnTo>
                <a:lnTo>
                  <a:pt x="15" y="395"/>
                </a:lnTo>
                <a:close/>
              </a:path>
            </a:pathLst>
          </a:custGeom>
          <a:gradFill rotWithShape="1">
            <a:gsLst>
              <a:gs pos="0">
                <a:srgbClr val="FFFFFF"/>
              </a:gs>
              <a:gs pos="100000">
                <a:srgbClr val="69FFFF"/>
              </a:gs>
            </a:gsLst>
            <a:lin ang="18900000" scaled="1"/>
          </a:gradFill>
          <a:ln w="38100" cmpd="sng">
            <a:solidFill>
              <a:srgbClr val="A6CAF0"/>
            </a:solidFill>
            <a:round/>
            <a:headEnd/>
            <a:tailEnd/>
          </a:ln>
        </xdr:spPr>
      </xdr:sp>
      <xdr:sp macro="" textlink="">
        <xdr:nvSpPr>
          <xdr:cNvPr id="10395" name="Freeform 210">
            <a:extLst>
              <a:ext uri="{FF2B5EF4-FFF2-40B4-BE49-F238E27FC236}">
                <a16:creationId xmlns:a16="http://schemas.microsoft.com/office/drawing/2014/main" id="{00000000-0008-0000-0F00-00009B280000}"/>
              </a:ext>
            </a:extLst>
          </xdr:cNvPr>
          <xdr:cNvSpPr>
            <a:spLocks/>
          </xdr:cNvSpPr>
        </xdr:nvSpPr>
        <xdr:spPr bwMode="auto">
          <a:xfrm>
            <a:off x="790594" y="10906125"/>
            <a:ext cx="1847831" cy="1304887"/>
          </a:xfrm>
          <a:custGeom>
            <a:avLst/>
            <a:gdLst>
              <a:gd name="T0" fmla="*/ 19002 w 9238"/>
              <a:gd name="T1" fmla="*/ 1047721 h 9448"/>
              <a:gd name="T2" fmla="*/ 1847831 w 9238"/>
              <a:gd name="T3" fmla="*/ 0 h 9448"/>
              <a:gd name="T4" fmla="*/ 1847831 w 9238"/>
              <a:gd name="T5" fmla="*/ 276225 h 9448"/>
              <a:gd name="T6" fmla="*/ 0 w 9238"/>
              <a:gd name="T7" fmla="*/ 1304887 h 9448"/>
              <a:gd name="T8" fmla="*/ 19002 w 9238"/>
              <a:gd name="T9" fmla="*/ 1047721 h 944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9238" h="9448">
                <a:moveTo>
                  <a:pt x="95" y="7586"/>
                </a:moveTo>
                <a:lnTo>
                  <a:pt x="9238" y="0"/>
                </a:lnTo>
                <a:lnTo>
                  <a:pt x="9238" y="2000"/>
                </a:lnTo>
                <a:lnTo>
                  <a:pt x="0" y="9448"/>
                </a:lnTo>
                <a:cubicBezTo>
                  <a:pt x="32" y="8827"/>
                  <a:pt x="63" y="8207"/>
                  <a:pt x="95" y="7586"/>
                </a:cubicBezTo>
                <a:close/>
              </a:path>
            </a:pathLst>
          </a:custGeom>
          <a:gradFill rotWithShape="1">
            <a:gsLst>
              <a:gs pos="0">
                <a:srgbClr val="FFFFFF"/>
              </a:gs>
              <a:gs pos="100000">
                <a:srgbClr val="00FFFF"/>
              </a:gs>
            </a:gsLst>
            <a:lin ang="2700000" scaled="1"/>
          </a:gradFill>
          <a:ln w="38100" cmpd="sng">
            <a:solidFill>
              <a:srgbClr val="A6CAF0"/>
            </a:solidFill>
            <a:round/>
            <a:headEnd/>
            <a:tailEnd/>
          </a:ln>
        </xdr:spPr>
      </xdr:sp>
      <xdr:sp macro="" textlink="">
        <xdr:nvSpPr>
          <xdr:cNvPr id="10396" name="Freeform 211">
            <a:extLst>
              <a:ext uri="{FF2B5EF4-FFF2-40B4-BE49-F238E27FC236}">
                <a16:creationId xmlns:a16="http://schemas.microsoft.com/office/drawing/2014/main" id="{00000000-0008-0000-0F00-00009C280000}"/>
              </a:ext>
            </a:extLst>
          </xdr:cNvPr>
          <xdr:cNvSpPr>
            <a:spLocks/>
          </xdr:cNvSpPr>
        </xdr:nvSpPr>
        <xdr:spPr bwMode="auto">
          <a:xfrm>
            <a:off x="771525" y="11439525"/>
            <a:ext cx="2181225" cy="1019175"/>
          </a:xfrm>
          <a:custGeom>
            <a:avLst/>
            <a:gdLst>
              <a:gd name="T0" fmla="*/ 2147483647 w 229"/>
              <a:gd name="T1" fmla="*/ 2147483647 h 107"/>
              <a:gd name="T2" fmla="*/ 0 w 229"/>
              <a:gd name="T3" fmla="*/ 2147483647 h 107"/>
              <a:gd name="T4" fmla="*/ 2147483647 w 229"/>
              <a:gd name="T5" fmla="*/ 0 h 107"/>
              <a:gd name="T6" fmla="*/ 2147483647 w 229"/>
              <a:gd name="T7" fmla="*/ 0 h 107"/>
              <a:gd name="T8" fmla="*/ 2147483647 w 229"/>
              <a:gd name="T9" fmla="*/ 2147483647 h 107"/>
              <a:gd name="T10" fmla="*/ 0 60000 65536"/>
              <a:gd name="T11" fmla="*/ 0 60000 65536"/>
              <a:gd name="T12" fmla="*/ 0 60000 65536"/>
              <a:gd name="T13" fmla="*/ 0 60000 65536"/>
              <a:gd name="T14" fmla="*/ 0 60000 65536"/>
              <a:gd name="T15" fmla="*/ 0 w 229"/>
              <a:gd name="T16" fmla="*/ 0 h 107"/>
              <a:gd name="T17" fmla="*/ 229 w 229"/>
              <a:gd name="T18" fmla="*/ 107 h 107"/>
            </a:gdLst>
            <a:ahLst/>
            <a:cxnLst>
              <a:cxn ang="T10">
                <a:pos x="T0" y="T1"/>
              </a:cxn>
              <a:cxn ang="T11">
                <a:pos x="T2" y="T3"/>
              </a:cxn>
              <a:cxn ang="T12">
                <a:pos x="T4" y="T5"/>
              </a:cxn>
              <a:cxn ang="T13">
                <a:pos x="T6" y="T7"/>
              </a:cxn>
              <a:cxn ang="T14">
                <a:pos x="T8" y="T9"/>
              </a:cxn>
            </a:cxnLst>
            <a:rect l="T15" t="T16" r="T17" b="T18"/>
            <a:pathLst>
              <a:path w="229" h="107">
                <a:moveTo>
                  <a:pt x="37" y="107"/>
                </a:moveTo>
                <a:lnTo>
                  <a:pt x="0" y="107"/>
                </a:lnTo>
                <a:lnTo>
                  <a:pt x="192" y="0"/>
                </a:lnTo>
                <a:lnTo>
                  <a:pt x="229" y="0"/>
                </a:lnTo>
                <a:lnTo>
                  <a:pt x="37"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397" name="Freeform 212">
            <a:extLst>
              <a:ext uri="{FF2B5EF4-FFF2-40B4-BE49-F238E27FC236}">
                <a16:creationId xmlns:a16="http://schemas.microsoft.com/office/drawing/2014/main" id="{00000000-0008-0000-0F00-00009D280000}"/>
              </a:ext>
            </a:extLst>
          </xdr:cNvPr>
          <xdr:cNvSpPr>
            <a:spLocks/>
          </xdr:cNvSpPr>
        </xdr:nvSpPr>
        <xdr:spPr bwMode="auto">
          <a:xfrm>
            <a:off x="790575" y="11210925"/>
            <a:ext cx="1819275" cy="1238250"/>
          </a:xfrm>
          <a:custGeom>
            <a:avLst/>
            <a:gdLst>
              <a:gd name="T0" fmla="*/ 0 w 191"/>
              <a:gd name="T1" fmla="*/ 2147483647 h 130"/>
              <a:gd name="T2" fmla="*/ 2147483647 w 191"/>
              <a:gd name="T3" fmla="*/ 0 h 130"/>
              <a:gd name="T4" fmla="*/ 2147483647 w 191"/>
              <a:gd name="T5" fmla="*/ 2147483647 h 130"/>
              <a:gd name="T6" fmla="*/ 0 w 191"/>
              <a:gd name="T7" fmla="*/ 2147483647 h 130"/>
              <a:gd name="T8" fmla="*/ 0 w 191"/>
              <a:gd name="T9" fmla="*/ 2147483647 h 130"/>
              <a:gd name="T10" fmla="*/ 0 60000 65536"/>
              <a:gd name="T11" fmla="*/ 0 60000 65536"/>
              <a:gd name="T12" fmla="*/ 0 60000 65536"/>
              <a:gd name="T13" fmla="*/ 0 60000 65536"/>
              <a:gd name="T14" fmla="*/ 0 60000 65536"/>
              <a:gd name="T15" fmla="*/ 0 w 191"/>
              <a:gd name="T16" fmla="*/ 0 h 130"/>
              <a:gd name="T17" fmla="*/ 191 w 191"/>
              <a:gd name="T18" fmla="*/ 130 h 130"/>
            </a:gdLst>
            <a:ahLst/>
            <a:cxnLst>
              <a:cxn ang="T10">
                <a:pos x="T0" y="T1"/>
              </a:cxn>
              <a:cxn ang="T11">
                <a:pos x="T2" y="T3"/>
              </a:cxn>
              <a:cxn ang="T12">
                <a:pos x="T4" y="T5"/>
              </a:cxn>
              <a:cxn ang="T13">
                <a:pos x="T6" y="T7"/>
              </a:cxn>
              <a:cxn ang="T14">
                <a:pos x="T8" y="T9"/>
              </a:cxn>
            </a:cxnLst>
            <a:rect l="T15" t="T16" r="T17" b="T18"/>
            <a:pathLst>
              <a:path w="191" h="130">
                <a:moveTo>
                  <a:pt x="0" y="106"/>
                </a:moveTo>
                <a:lnTo>
                  <a:pt x="191" y="0"/>
                </a:lnTo>
                <a:lnTo>
                  <a:pt x="191" y="24"/>
                </a:lnTo>
                <a:lnTo>
                  <a:pt x="0" y="130"/>
                </a:lnTo>
                <a:lnTo>
                  <a:pt x="0" y="106"/>
                </a:lnTo>
                <a:close/>
              </a:path>
            </a:pathLst>
          </a:custGeom>
          <a:gradFill rotWithShape="1">
            <a:gsLst>
              <a:gs pos="0">
                <a:srgbClr val="FFFFFF"/>
              </a:gs>
              <a:gs pos="100000">
                <a:srgbClr val="C0C0C0"/>
              </a:gs>
            </a:gsLst>
            <a:lin ang="2700000" scaled="1"/>
          </a:gradFill>
          <a:ln w="9525">
            <a:solidFill>
              <a:srgbClr val="000000"/>
            </a:solidFill>
            <a:round/>
            <a:headEnd/>
            <a:tailEnd/>
          </a:ln>
        </xdr:spPr>
      </xdr:sp>
      <xdr:sp macro="" textlink="">
        <xdr:nvSpPr>
          <xdr:cNvPr id="10398" name="Freeform 213">
            <a:extLst>
              <a:ext uri="{FF2B5EF4-FFF2-40B4-BE49-F238E27FC236}">
                <a16:creationId xmlns:a16="http://schemas.microsoft.com/office/drawing/2014/main" id="{00000000-0008-0000-0F00-00009E280000}"/>
              </a:ext>
            </a:extLst>
          </xdr:cNvPr>
          <xdr:cNvSpPr>
            <a:spLocks/>
          </xdr:cNvSpPr>
        </xdr:nvSpPr>
        <xdr:spPr bwMode="auto">
          <a:xfrm>
            <a:off x="1123950" y="11439525"/>
            <a:ext cx="1828800" cy="1057275"/>
          </a:xfrm>
          <a:custGeom>
            <a:avLst/>
            <a:gdLst>
              <a:gd name="T0" fmla="*/ 0 w 192"/>
              <a:gd name="T1" fmla="*/ 2147483647 h 111"/>
              <a:gd name="T2" fmla="*/ 2147483647 w 192"/>
              <a:gd name="T3" fmla="*/ 0 h 111"/>
              <a:gd name="T4" fmla="*/ 2147483647 w 192"/>
              <a:gd name="T5" fmla="*/ 362902549 h 111"/>
              <a:gd name="T6" fmla="*/ 0 w 192"/>
              <a:gd name="T7" fmla="*/ 2147483647 h 111"/>
              <a:gd name="T8" fmla="*/ 0 w 192"/>
              <a:gd name="T9" fmla="*/ 2147483647 h 111"/>
              <a:gd name="T10" fmla="*/ 0 60000 65536"/>
              <a:gd name="T11" fmla="*/ 0 60000 65536"/>
              <a:gd name="T12" fmla="*/ 0 60000 65536"/>
              <a:gd name="T13" fmla="*/ 0 60000 65536"/>
              <a:gd name="T14" fmla="*/ 0 60000 65536"/>
              <a:gd name="T15" fmla="*/ 0 w 192"/>
              <a:gd name="T16" fmla="*/ 0 h 111"/>
              <a:gd name="T17" fmla="*/ 192 w 192"/>
              <a:gd name="T18" fmla="*/ 111 h 111"/>
            </a:gdLst>
            <a:ahLst/>
            <a:cxnLst>
              <a:cxn ang="T10">
                <a:pos x="T0" y="T1"/>
              </a:cxn>
              <a:cxn ang="T11">
                <a:pos x="T2" y="T3"/>
              </a:cxn>
              <a:cxn ang="T12">
                <a:pos x="T4" y="T5"/>
              </a:cxn>
              <a:cxn ang="T13">
                <a:pos x="T6" y="T7"/>
              </a:cxn>
              <a:cxn ang="T14">
                <a:pos x="T8" y="T9"/>
              </a:cxn>
            </a:cxnLst>
            <a:rect l="T15" t="T16" r="T17" b="T18"/>
            <a:pathLst>
              <a:path w="192" h="111">
                <a:moveTo>
                  <a:pt x="0" y="107"/>
                </a:moveTo>
                <a:lnTo>
                  <a:pt x="192" y="0"/>
                </a:lnTo>
                <a:lnTo>
                  <a:pt x="192" y="4"/>
                </a:lnTo>
                <a:lnTo>
                  <a:pt x="0" y="111"/>
                </a:lnTo>
                <a:lnTo>
                  <a:pt x="0" y="107"/>
                </a:lnTo>
                <a:close/>
              </a:path>
            </a:pathLst>
          </a:custGeom>
          <a:solidFill>
            <a:srgbClr val="969696"/>
          </a:solidFill>
          <a:ln w="9525">
            <a:solidFill>
              <a:srgbClr val="000000"/>
            </a:solidFill>
            <a:round/>
            <a:headEnd/>
            <a:tailEnd/>
          </a:ln>
        </xdr:spPr>
      </xdr:sp>
      <xdr:sp macro="" textlink="">
        <xdr:nvSpPr>
          <xdr:cNvPr id="10399" name="Freeform 214">
            <a:extLst>
              <a:ext uri="{FF2B5EF4-FFF2-40B4-BE49-F238E27FC236}">
                <a16:creationId xmlns:a16="http://schemas.microsoft.com/office/drawing/2014/main" id="{00000000-0008-0000-0F00-00009F280000}"/>
              </a:ext>
            </a:extLst>
          </xdr:cNvPr>
          <xdr:cNvSpPr>
            <a:spLocks/>
          </xdr:cNvSpPr>
        </xdr:nvSpPr>
        <xdr:spPr bwMode="auto">
          <a:xfrm>
            <a:off x="752475" y="12230100"/>
            <a:ext cx="381000" cy="266700"/>
          </a:xfrm>
          <a:custGeom>
            <a:avLst/>
            <a:gdLst>
              <a:gd name="T0" fmla="*/ 362902510 w 40"/>
              <a:gd name="T1" fmla="*/ 0 h 28"/>
              <a:gd name="T2" fmla="*/ 362902510 w 40"/>
              <a:gd name="T3" fmla="*/ 2147483647 h 28"/>
              <a:gd name="T4" fmla="*/ 2147483647 w 40"/>
              <a:gd name="T5" fmla="*/ 2147483647 h 28"/>
              <a:gd name="T6" fmla="*/ 2147483647 w 40"/>
              <a:gd name="T7" fmla="*/ 2147483647 h 28"/>
              <a:gd name="T8" fmla="*/ 0 w 40"/>
              <a:gd name="T9" fmla="*/ 2147483647 h 28"/>
              <a:gd name="T10" fmla="*/ 0 w 40"/>
              <a:gd name="T11" fmla="*/ 0 h 28"/>
              <a:gd name="T12" fmla="*/ 362902510 w 40"/>
              <a:gd name="T13" fmla="*/ 0 h 28"/>
              <a:gd name="T14" fmla="*/ 0 60000 65536"/>
              <a:gd name="T15" fmla="*/ 0 60000 65536"/>
              <a:gd name="T16" fmla="*/ 0 60000 65536"/>
              <a:gd name="T17" fmla="*/ 0 60000 65536"/>
              <a:gd name="T18" fmla="*/ 0 60000 65536"/>
              <a:gd name="T19" fmla="*/ 0 60000 65536"/>
              <a:gd name="T20" fmla="*/ 0 60000 65536"/>
              <a:gd name="T21" fmla="*/ 0 w 40"/>
              <a:gd name="T22" fmla="*/ 0 h 28"/>
              <a:gd name="T23" fmla="*/ 40 w 40"/>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0" h="28">
                <a:moveTo>
                  <a:pt x="4" y="0"/>
                </a:moveTo>
                <a:lnTo>
                  <a:pt x="4" y="24"/>
                </a:lnTo>
                <a:lnTo>
                  <a:pt x="40" y="24"/>
                </a:lnTo>
                <a:lnTo>
                  <a:pt x="40" y="28"/>
                </a:lnTo>
                <a:lnTo>
                  <a:pt x="0" y="28"/>
                </a:lnTo>
                <a:lnTo>
                  <a:pt x="0" y="0"/>
                </a:lnTo>
                <a:lnTo>
                  <a:pt x="4" y="0"/>
                </a:lnTo>
                <a:close/>
              </a:path>
            </a:pathLst>
          </a:custGeom>
          <a:solidFill>
            <a:srgbClr val="969696"/>
          </a:solidFill>
          <a:ln w="9525">
            <a:solidFill>
              <a:srgbClr val="000000"/>
            </a:solidFill>
            <a:round/>
            <a:headEnd/>
            <a:tailEnd/>
          </a:ln>
        </xdr:spPr>
      </xdr:sp>
      <xdr:sp macro="" textlink="">
        <xdr:nvSpPr>
          <xdr:cNvPr id="10400" name="Line 446">
            <a:extLst>
              <a:ext uri="{FF2B5EF4-FFF2-40B4-BE49-F238E27FC236}">
                <a16:creationId xmlns:a16="http://schemas.microsoft.com/office/drawing/2014/main" id="{00000000-0008-0000-0F00-0000A0280000}"/>
              </a:ext>
            </a:extLst>
          </xdr:cNvPr>
          <xdr:cNvSpPr>
            <a:spLocks noChangeShapeType="1"/>
          </xdr:cNvSpPr>
        </xdr:nvSpPr>
        <xdr:spPr bwMode="auto">
          <a:xfrm>
            <a:off x="552450" y="7772400"/>
            <a:ext cx="0" cy="0"/>
          </a:xfrm>
          <a:prstGeom prst="line">
            <a:avLst/>
          </a:prstGeom>
          <a:noFill/>
          <a:ln w="9525">
            <a:solidFill>
              <a:srgbClr val="000000"/>
            </a:solidFill>
            <a:round/>
            <a:headEnd/>
            <a:tailEnd/>
          </a:ln>
        </xdr:spPr>
      </xdr:sp>
      <xdr:sp macro="" textlink="">
        <xdr:nvSpPr>
          <xdr:cNvPr id="10401" name="Line 447">
            <a:extLst>
              <a:ext uri="{FF2B5EF4-FFF2-40B4-BE49-F238E27FC236}">
                <a16:creationId xmlns:a16="http://schemas.microsoft.com/office/drawing/2014/main" id="{00000000-0008-0000-0F00-0000A1280000}"/>
              </a:ext>
            </a:extLst>
          </xdr:cNvPr>
          <xdr:cNvSpPr>
            <a:spLocks noChangeShapeType="1"/>
          </xdr:cNvSpPr>
        </xdr:nvSpPr>
        <xdr:spPr bwMode="auto">
          <a:xfrm flipV="1">
            <a:off x="561975" y="6657975"/>
            <a:ext cx="2038350" cy="1123950"/>
          </a:xfrm>
          <a:prstGeom prst="line">
            <a:avLst/>
          </a:prstGeom>
          <a:noFill/>
          <a:ln w="19050">
            <a:solidFill>
              <a:srgbClr val="000000"/>
            </a:solidFill>
            <a:round/>
            <a:headEnd/>
            <a:tailEnd/>
          </a:ln>
        </xdr:spPr>
      </xdr:sp>
      <xdr:grpSp>
        <xdr:nvGrpSpPr>
          <xdr:cNvPr id="10402" name="Group 217">
            <a:extLst>
              <a:ext uri="{FF2B5EF4-FFF2-40B4-BE49-F238E27FC236}">
                <a16:creationId xmlns:a16="http://schemas.microsoft.com/office/drawing/2014/main" id="{00000000-0008-0000-0F00-0000A2280000}"/>
              </a:ext>
            </a:extLst>
          </xdr:cNvPr>
          <xdr:cNvGrpSpPr>
            <a:grpSpLocks/>
          </xdr:cNvGrpSpPr>
        </xdr:nvGrpSpPr>
        <xdr:grpSpPr bwMode="auto">
          <a:xfrm>
            <a:off x="276225" y="6477000"/>
            <a:ext cx="2247900" cy="1285875"/>
            <a:chOff x="304800" y="57150"/>
            <a:chExt cx="236" cy="135"/>
          </a:xfrm>
        </xdr:grpSpPr>
        <xdr:sp macro="" textlink="">
          <xdr:nvSpPr>
            <xdr:cNvPr id="10405" name="Freeform 226">
              <a:extLst>
                <a:ext uri="{FF2B5EF4-FFF2-40B4-BE49-F238E27FC236}">
                  <a16:creationId xmlns:a16="http://schemas.microsoft.com/office/drawing/2014/main" id="{00000000-0008-0000-0F00-0000A5280000}"/>
                </a:ext>
              </a:extLst>
            </xdr:cNvPr>
            <xdr:cNvSpPr>
              <a:spLocks/>
            </xdr:cNvSpPr>
          </xdr:nvSpPr>
          <xdr:spPr bwMode="auto">
            <a:xfrm>
              <a:off x="304844" y="57150"/>
              <a:ext cx="192" cy="134"/>
            </a:xfrm>
            <a:custGeom>
              <a:avLst/>
              <a:gdLst>
                <a:gd name="T0" fmla="*/ 0 w 192"/>
                <a:gd name="T1" fmla="*/ 107 h 134"/>
                <a:gd name="T2" fmla="*/ 192 w 192"/>
                <a:gd name="T3" fmla="*/ 0 h 134"/>
                <a:gd name="T4" fmla="*/ 192 w 192"/>
                <a:gd name="T5" fmla="*/ 28 h 134"/>
                <a:gd name="T6" fmla="*/ 0 w 192"/>
                <a:gd name="T7" fmla="*/ 134 h 134"/>
                <a:gd name="T8" fmla="*/ 0 w 192"/>
                <a:gd name="T9" fmla="*/ 107 h 134"/>
                <a:gd name="T10" fmla="*/ 0 60000 65536"/>
                <a:gd name="T11" fmla="*/ 0 60000 65536"/>
                <a:gd name="T12" fmla="*/ 0 60000 65536"/>
                <a:gd name="T13" fmla="*/ 0 60000 65536"/>
                <a:gd name="T14" fmla="*/ 0 60000 65536"/>
                <a:gd name="T15" fmla="*/ 0 w 192"/>
                <a:gd name="T16" fmla="*/ 0 h 134"/>
                <a:gd name="T17" fmla="*/ 192 w 192"/>
                <a:gd name="T18" fmla="*/ 134 h 134"/>
              </a:gdLst>
              <a:ahLst/>
              <a:cxnLst>
                <a:cxn ang="T10">
                  <a:pos x="T0" y="T1"/>
                </a:cxn>
                <a:cxn ang="T11">
                  <a:pos x="T2" y="T3"/>
                </a:cxn>
                <a:cxn ang="T12">
                  <a:pos x="T4" y="T5"/>
                </a:cxn>
                <a:cxn ang="T13">
                  <a:pos x="T6" y="T7"/>
                </a:cxn>
                <a:cxn ang="T14">
                  <a:pos x="T8" y="T9"/>
                </a:cxn>
              </a:cxnLst>
              <a:rect l="T15" t="T16" r="T17" b="T18"/>
              <a:pathLst>
                <a:path w="192" h="134">
                  <a:moveTo>
                    <a:pt x="0" y="107"/>
                  </a:moveTo>
                  <a:lnTo>
                    <a:pt x="192" y="0"/>
                  </a:lnTo>
                  <a:lnTo>
                    <a:pt x="192" y="28"/>
                  </a:lnTo>
                  <a:lnTo>
                    <a:pt x="0" y="134"/>
                  </a:lnTo>
                  <a:lnTo>
                    <a:pt x="0" y="107"/>
                  </a:lnTo>
                  <a:close/>
                </a:path>
              </a:pathLst>
            </a:custGeom>
            <a:gradFill rotWithShape="1">
              <a:gsLst>
                <a:gs pos="0">
                  <a:srgbClr val="C0C0C0"/>
                </a:gs>
                <a:gs pos="100000">
                  <a:srgbClr val="FFFFFF"/>
                </a:gs>
              </a:gsLst>
              <a:lin ang="2700000" scaled="1"/>
            </a:gradFill>
            <a:ln w="9525">
              <a:solidFill>
                <a:srgbClr val="000000"/>
              </a:solidFill>
              <a:round/>
              <a:headEnd/>
              <a:tailEnd/>
            </a:ln>
          </xdr:spPr>
        </xdr:sp>
        <xdr:sp macro="" textlink="">
          <xdr:nvSpPr>
            <xdr:cNvPr id="10406" name="Freeform 227">
              <a:extLst>
                <a:ext uri="{FF2B5EF4-FFF2-40B4-BE49-F238E27FC236}">
                  <a16:creationId xmlns:a16="http://schemas.microsoft.com/office/drawing/2014/main" id="{00000000-0008-0000-0F00-0000A6280000}"/>
                </a:ext>
              </a:extLst>
            </xdr:cNvPr>
            <xdr:cNvSpPr>
              <a:spLocks/>
            </xdr:cNvSpPr>
          </xdr:nvSpPr>
          <xdr:spPr bwMode="auto">
            <a:xfrm>
              <a:off x="304800" y="57150"/>
              <a:ext cx="236" cy="107"/>
            </a:xfrm>
            <a:custGeom>
              <a:avLst/>
              <a:gdLst>
                <a:gd name="T0" fmla="*/ 44 w 236"/>
                <a:gd name="T1" fmla="*/ 107 h 107"/>
                <a:gd name="T2" fmla="*/ 0 w 236"/>
                <a:gd name="T3" fmla="*/ 107 h 107"/>
                <a:gd name="T4" fmla="*/ 195 w 236"/>
                <a:gd name="T5" fmla="*/ 0 h 107"/>
                <a:gd name="T6" fmla="*/ 236 w 236"/>
                <a:gd name="T7" fmla="*/ 0 h 107"/>
                <a:gd name="T8" fmla="*/ 44 w 236"/>
                <a:gd name="T9" fmla="*/ 107 h 107"/>
                <a:gd name="T10" fmla="*/ 0 60000 65536"/>
                <a:gd name="T11" fmla="*/ 0 60000 65536"/>
                <a:gd name="T12" fmla="*/ 0 60000 65536"/>
                <a:gd name="T13" fmla="*/ 0 60000 65536"/>
                <a:gd name="T14" fmla="*/ 0 60000 65536"/>
                <a:gd name="T15" fmla="*/ 0 w 236"/>
                <a:gd name="T16" fmla="*/ 0 h 107"/>
                <a:gd name="T17" fmla="*/ 236 w 236"/>
                <a:gd name="T18" fmla="*/ 107 h 107"/>
              </a:gdLst>
              <a:ahLst/>
              <a:cxnLst>
                <a:cxn ang="T10">
                  <a:pos x="T0" y="T1"/>
                </a:cxn>
                <a:cxn ang="T11">
                  <a:pos x="T2" y="T3"/>
                </a:cxn>
                <a:cxn ang="T12">
                  <a:pos x="T4" y="T5"/>
                </a:cxn>
                <a:cxn ang="T13">
                  <a:pos x="T6" y="T7"/>
                </a:cxn>
                <a:cxn ang="T14">
                  <a:pos x="T8" y="T9"/>
                </a:cxn>
              </a:cxnLst>
              <a:rect l="T15" t="T16" r="T17" b="T18"/>
              <a:pathLst>
                <a:path w="236" h="107">
                  <a:moveTo>
                    <a:pt x="44" y="107"/>
                  </a:moveTo>
                  <a:lnTo>
                    <a:pt x="0" y="107"/>
                  </a:lnTo>
                  <a:lnTo>
                    <a:pt x="195" y="0"/>
                  </a:lnTo>
                  <a:lnTo>
                    <a:pt x="236" y="0"/>
                  </a:lnTo>
                  <a:lnTo>
                    <a:pt x="44"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407" name="Freeform 228">
              <a:extLst>
                <a:ext uri="{FF2B5EF4-FFF2-40B4-BE49-F238E27FC236}">
                  <a16:creationId xmlns:a16="http://schemas.microsoft.com/office/drawing/2014/main" id="{00000000-0008-0000-0F00-0000A7280000}"/>
                </a:ext>
              </a:extLst>
            </xdr:cNvPr>
            <xdr:cNvSpPr>
              <a:spLocks/>
            </xdr:cNvSpPr>
          </xdr:nvSpPr>
          <xdr:spPr bwMode="auto">
            <a:xfrm>
              <a:off x="304800" y="57257"/>
              <a:ext cx="45" cy="28"/>
            </a:xfrm>
            <a:custGeom>
              <a:avLst/>
              <a:gdLst>
                <a:gd name="T0" fmla="*/ 41 w 45"/>
                <a:gd name="T1" fmla="*/ 28 h 28"/>
                <a:gd name="T2" fmla="*/ 41 w 45"/>
                <a:gd name="T3" fmla="*/ 3 h 28"/>
                <a:gd name="T4" fmla="*/ 0 w 45"/>
                <a:gd name="T5" fmla="*/ 3 h 28"/>
                <a:gd name="T6" fmla="*/ 0 w 45"/>
                <a:gd name="T7" fmla="*/ 0 h 28"/>
                <a:gd name="T8" fmla="*/ 45 w 45"/>
                <a:gd name="T9" fmla="*/ 0 h 28"/>
                <a:gd name="T10" fmla="*/ 45 w 45"/>
                <a:gd name="T11" fmla="*/ 28 h 28"/>
                <a:gd name="T12" fmla="*/ 41 w 45"/>
                <a:gd name="T13" fmla="*/ 28 h 28"/>
                <a:gd name="T14" fmla="*/ 0 60000 65536"/>
                <a:gd name="T15" fmla="*/ 0 60000 65536"/>
                <a:gd name="T16" fmla="*/ 0 60000 65536"/>
                <a:gd name="T17" fmla="*/ 0 60000 65536"/>
                <a:gd name="T18" fmla="*/ 0 60000 65536"/>
                <a:gd name="T19" fmla="*/ 0 60000 65536"/>
                <a:gd name="T20" fmla="*/ 0 60000 65536"/>
                <a:gd name="T21" fmla="*/ 0 w 45"/>
                <a:gd name="T22" fmla="*/ 0 h 28"/>
                <a:gd name="T23" fmla="*/ 45 w 45"/>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5" h="28">
                  <a:moveTo>
                    <a:pt x="41" y="28"/>
                  </a:moveTo>
                  <a:lnTo>
                    <a:pt x="41" y="3"/>
                  </a:lnTo>
                  <a:lnTo>
                    <a:pt x="0" y="3"/>
                  </a:lnTo>
                  <a:lnTo>
                    <a:pt x="0" y="0"/>
                  </a:lnTo>
                  <a:lnTo>
                    <a:pt x="45" y="0"/>
                  </a:lnTo>
                  <a:lnTo>
                    <a:pt x="45" y="28"/>
                  </a:lnTo>
                  <a:lnTo>
                    <a:pt x="41" y="28"/>
                  </a:lnTo>
                  <a:close/>
                </a:path>
              </a:pathLst>
            </a:custGeom>
            <a:solidFill>
              <a:srgbClr val="969696"/>
            </a:solidFill>
            <a:ln w="9525">
              <a:solidFill>
                <a:srgbClr val="000000"/>
              </a:solidFill>
              <a:round/>
              <a:headEnd/>
              <a:tailEnd/>
            </a:ln>
          </xdr:spPr>
        </xdr:sp>
      </xdr:grpSp>
      <xdr:sp macro="" textlink="">
        <xdr:nvSpPr>
          <xdr:cNvPr id="10403" name="Rectangle 218">
            <a:extLst>
              <a:ext uri="{FF2B5EF4-FFF2-40B4-BE49-F238E27FC236}">
                <a16:creationId xmlns:a16="http://schemas.microsoft.com/office/drawing/2014/main" id="{00000000-0008-0000-0F00-0000A3280000}"/>
              </a:ext>
            </a:extLst>
          </xdr:cNvPr>
          <xdr:cNvSpPr>
            <a:spLocks noChangeArrowheads="1"/>
          </xdr:cNvSpPr>
        </xdr:nvSpPr>
        <xdr:spPr bwMode="auto">
          <a:xfrm>
            <a:off x="561975" y="7734299"/>
            <a:ext cx="390525" cy="4572000"/>
          </a:xfrm>
          <a:prstGeom prst="rect">
            <a:avLst/>
          </a:prstGeom>
          <a:solidFill>
            <a:srgbClr val="69FFFF"/>
          </a:solidFill>
          <a:ln w="19050">
            <a:solidFill>
              <a:srgbClr val="000000"/>
            </a:solidFill>
            <a:miter lim="800000"/>
            <a:headEnd/>
            <a:tailEnd/>
          </a:ln>
        </xdr:spPr>
      </xdr:sp>
      <xdr:sp macro="" textlink="">
        <xdr:nvSpPr>
          <xdr:cNvPr id="10404" name="Freeform 219">
            <a:extLst>
              <a:ext uri="{FF2B5EF4-FFF2-40B4-BE49-F238E27FC236}">
                <a16:creationId xmlns:a16="http://schemas.microsoft.com/office/drawing/2014/main" id="{00000000-0008-0000-0F00-0000A4280000}"/>
              </a:ext>
            </a:extLst>
          </xdr:cNvPr>
          <xdr:cNvSpPr>
            <a:spLocks/>
          </xdr:cNvSpPr>
        </xdr:nvSpPr>
        <xdr:spPr bwMode="auto">
          <a:xfrm>
            <a:off x="1057275" y="7115175"/>
            <a:ext cx="1876425" cy="4705350"/>
          </a:xfrm>
          <a:custGeom>
            <a:avLst/>
            <a:gdLst>
              <a:gd name="T0" fmla="*/ 0 w 197"/>
              <a:gd name="T1" fmla="*/ 2147483647 h 494"/>
              <a:gd name="T2" fmla="*/ 0 w 197"/>
              <a:gd name="T3" fmla="*/ 2147483647 h 494"/>
              <a:gd name="T4" fmla="*/ 0 w 197"/>
              <a:gd name="T5" fmla="*/ 2147483647 h 494"/>
              <a:gd name="T6" fmla="*/ 90725634 w 197"/>
              <a:gd name="T7" fmla="*/ 2147483647 h 494"/>
              <a:gd name="T8" fmla="*/ 725805073 w 197"/>
              <a:gd name="T9" fmla="*/ 2147483647 h 494"/>
              <a:gd name="T10" fmla="*/ 2086689324 w 197"/>
              <a:gd name="T11" fmla="*/ 2147483647 h 494"/>
              <a:gd name="T12" fmla="*/ 2147483647 w 197"/>
              <a:gd name="T13" fmla="*/ 2147483647 h 494"/>
              <a:gd name="T14" fmla="*/ 2147483647 w 197"/>
              <a:gd name="T15" fmla="*/ 2147483647 h 494"/>
              <a:gd name="T16" fmla="*/ 2147483647 w 197"/>
              <a:gd name="T17" fmla="*/ 2147483647 h 494"/>
              <a:gd name="T18" fmla="*/ 2147483647 w 197"/>
              <a:gd name="T19" fmla="*/ 1179433131 h 494"/>
              <a:gd name="T20" fmla="*/ 2147483647 w 197"/>
              <a:gd name="T21" fmla="*/ 362902559 h 494"/>
              <a:gd name="T22" fmla="*/ 2147483647 w 197"/>
              <a:gd name="T23" fmla="*/ 0 h 494"/>
              <a:gd name="T24" fmla="*/ 2147483647 w 197"/>
              <a:gd name="T25" fmla="*/ 0 h 494"/>
              <a:gd name="T26" fmla="*/ 2147483647 w 197"/>
              <a:gd name="T27" fmla="*/ 2147483647 h 494"/>
              <a:gd name="T28" fmla="*/ 2147483647 w 197"/>
              <a:gd name="T29" fmla="*/ 2147483647 h 494"/>
              <a:gd name="T30" fmla="*/ 2147483647 w 197"/>
              <a:gd name="T31" fmla="*/ 2147483647 h 494"/>
              <a:gd name="T32" fmla="*/ 2147483647 w 197"/>
              <a:gd name="T33" fmla="*/ 2147483647 h 494"/>
              <a:gd name="T34" fmla="*/ 1633061339 w 197"/>
              <a:gd name="T35" fmla="*/ 2147483647 h 494"/>
              <a:gd name="T36" fmla="*/ 453628133 w 197"/>
              <a:gd name="T37" fmla="*/ 2147483647 h 494"/>
              <a:gd name="T38" fmla="*/ 90725634 w 197"/>
              <a:gd name="T39" fmla="*/ 2147483647 h 494"/>
              <a:gd name="T40" fmla="*/ 0 w 197"/>
              <a:gd name="T41" fmla="*/ 2147483647 h 494"/>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97"/>
              <a:gd name="T64" fmla="*/ 0 h 494"/>
              <a:gd name="T65" fmla="*/ 197 w 197"/>
              <a:gd name="T66" fmla="*/ 494 h 494"/>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97" h="494">
                <a:moveTo>
                  <a:pt x="0" y="188"/>
                </a:moveTo>
                <a:lnTo>
                  <a:pt x="0" y="172"/>
                </a:lnTo>
                <a:lnTo>
                  <a:pt x="0" y="121"/>
                </a:lnTo>
                <a:lnTo>
                  <a:pt x="1" y="109"/>
                </a:lnTo>
                <a:lnTo>
                  <a:pt x="8" y="106"/>
                </a:lnTo>
                <a:lnTo>
                  <a:pt x="23" y="97"/>
                </a:lnTo>
                <a:lnTo>
                  <a:pt x="77" y="67"/>
                </a:lnTo>
                <a:lnTo>
                  <a:pt x="120" y="42"/>
                </a:lnTo>
                <a:lnTo>
                  <a:pt x="146" y="27"/>
                </a:lnTo>
                <a:lnTo>
                  <a:pt x="172" y="13"/>
                </a:lnTo>
                <a:lnTo>
                  <a:pt x="186" y="4"/>
                </a:lnTo>
                <a:lnTo>
                  <a:pt x="194" y="0"/>
                </a:lnTo>
                <a:lnTo>
                  <a:pt x="197" y="0"/>
                </a:lnTo>
                <a:lnTo>
                  <a:pt x="196" y="72"/>
                </a:lnTo>
                <a:lnTo>
                  <a:pt x="196" y="343"/>
                </a:lnTo>
                <a:lnTo>
                  <a:pt x="196" y="393"/>
                </a:lnTo>
                <a:lnTo>
                  <a:pt x="190" y="397"/>
                </a:lnTo>
                <a:lnTo>
                  <a:pt x="18" y="491"/>
                </a:lnTo>
                <a:lnTo>
                  <a:pt x="5" y="494"/>
                </a:lnTo>
                <a:lnTo>
                  <a:pt x="1" y="492"/>
                </a:lnTo>
                <a:lnTo>
                  <a:pt x="0" y="188"/>
                </a:lnTo>
                <a:close/>
              </a:path>
            </a:pathLst>
          </a:custGeom>
          <a:gradFill rotWithShape="1">
            <a:gsLst>
              <a:gs pos="0">
                <a:srgbClr val="FFFFFF"/>
              </a:gs>
              <a:gs pos="100000">
                <a:srgbClr val="69FFFF"/>
              </a:gs>
            </a:gsLst>
            <a:lin ang="2700000" scaled="1"/>
          </a:gradFill>
          <a:ln w="57150" cmpd="sng">
            <a:solidFill>
              <a:srgbClr val="A6CAF0"/>
            </a:solidFill>
            <a:round/>
            <a:headEnd/>
            <a:tailEnd/>
          </a:ln>
        </xdr:spPr>
      </xdr:sp>
      <xdr:sp macro="" textlink="">
        <xdr:nvSpPr>
          <xdr:cNvPr id="13" name="Freeform 12">
            <a:extLst>
              <a:ext uri="{FF2B5EF4-FFF2-40B4-BE49-F238E27FC236}">
                <a16:creationId xmlns:a16="http://schemas.microsoft.com/office/drawing/2014/main" id="{00000000-0008-0000-0F00-00000D000000}"/>
              </a:ext>
            </a:extLst>
          </xdr:cNvPr>
          <xdr:cNvSpPr/>
        </xdr:nvSpPr>
        <xdr:spPr bwMode="auto">
          <a:xfrm>
            <a:off x="3943350" y="7737196"/>
            <a:ext cx="180975" cy="4383405"/>
          </a:xfrm>
          <a:custGeom>
            <a:avLst/>
            <a:gdLst>
              <a:gd name="connsiteX0" fmla="*/ 180975 w 180975"/>
              <a:gd name="connsiteY0" fmla="*/ 0 h 4086225"/>
              <a:gd name="connsiteX1" fmla="*/ 0 w 180975"/>
              <a:gd name="connsiteY1" fmla="*/ 361950 h 4086225"/>
              <a:gd name="connsiteX2" fmla="*/ 0 w 180975"/>
              <a:gd name="connsiteY2" fmla="*/ 4086225 h 4086225"/>
              <a:gd name="connsiteX3" fmla="*/ 180975 w 180975"/>
              <a:gd name="connsiteY3" fmla="*/ 3762375 h 4086225"/>
              <a:gd name="connsiteX4" fmla="*/ 180975 w 180975"/>
              <a:gd name="connsiteY4" fmla="*/ 0 h 4086225"/>
              <a:gd name="connsiteX0" fmla="*/ 171450 w 180975"/>
              <a:gd name="connsiteY0" fmla="*/ 0 h 4619625"/>
              <a:gd name="connsiteX1" fmla="*/ 0 w 180975"/>
              <a:gd name="connsiteY1" fmla="*/ 895350 h 4619625"/>
              <a:gd name="connsiteX2" fmla="*/ 0 w 180975"/>
              <a:gd name="connsiteY2" fmla="*/ 4619625 h 4619625"/>
              <a:gd name="connsiteX3" fmla="*/ 180975 w 180975"/>
              <a:gd name="connsiteY3" fmla="*/ 4295775 h 4619625"/>
              <a:gd name="connsiteX4" fmla="*/ 171450 w 180975"/>
              <a:gd name="connsiteY4" fmla="*/ 0 h 4619625"/>
              <a:gd name="connsiteX0" fmla="*/ 171450 w 180975"/>
              <a:gd name="connsiteY0" fmla="*/ 0 h 4619625"/>
              <a:gd name="connsiteX1" fmla="*/ 0 w 180975"/>
              <a:gd name="connsiteY1" fmla="*/ 381000 h 4619625"/>
              <a:gd name="connsiteX2" fmla="*/ 0 w 180975"/>
              <a:gd name="connsiteY2" fmla="*/ 4619625 h 4619625"/>
              <a:gd name="connsiteX3" fmla="*/ 180975 w 180975"/>
              <a:gd name="connsiteY3" fmla="*/ 4295775 h 4619625"/>
              <a:gd name="connsiteX4" fmla="*/ 171450 w 180975"/>
              <a:gd name="connsiteY4" fmla="*/ 0 h 4619625"/>
              <a:gd name="connsiteX0" fmla="*/ 171450 w 180975"/>
              <a:gd name="connsiteY0" fmla="*/ 0 h 5143500"/>
              <a:gd name="connsiteX1" fmla="*/ 0 w 180975"/>
              <a:gd name="connsiteY1" fmla="*/ 381000 h 5143500"/>
              <a:gd name="connsiteX2" fmla="*/ 0 w 180975"/>
              <a:gd name="connsiteY2" fmla="*/ 5143500 h 5143500"/>
              <a:gd name="connsiteX3" fmla="*/ 180975 w 180975"/>
              <a:gd name="connsiteY3" fmla="*/ 4295775 h 5143500"/>
              <a:gd name="connsiteX4" fmla="*/ 171450 w 180975"/>
              <a:gd name="connsiteY4" fmla="*/ 0 h 5143500"/>
              <a:gd name="connsiteX0" fmla="*/ 171450 w 180975"/>
              <a:gd name="connsiteY0" fmla="*/ 0 h 5143500"/>
              <a:gd name="connsiteX1" fmla="*/ 0 w 180975"/>
              <a:gd name="connsiteY1" fmla="*/ 381000 h 5143500"/>
              <a:gd name="connsiteX2" fmla="*/ 0 w 180975"/>
              <a:gd name="connsiteY2" fmla="*/ 5143500 h 5143500"/>
              <a:gd name="connsiteX3" fmla="*/ 180975 w 180975"/>
              <a:gd name="connsiteY3" fmla="*/ 4819650 h 5143500"/>
              <a:gd name="connsiteX4" fmla="*/ 171450 w 180975"/>
              <a:gd name="connsiteY4" fmla="*/ 0 h 5143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0975" h="5143500">
                <a:moveTo>
                  <a:pt x="171450" y="0"/>
                </a:moveTo>
                <a:lnTo>
                  <a:pt x="0" y="381000"/>
                </a:lnTo>
                <a:lnTo>
                  <a:pt x="0" y="5143500"/>
                </a:lnTo>
                <a:lnTo>
                  <a:pt x="180975" y="4819650"/>
                </a:lnTo>
                <a:lnTo>
                  <a:pt x="171450" y="0"/>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1"/>
            <a:tileRect/>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2" name="Freeform 11">
            <a:extLst>
              <a:ext uri="{FF2B5EF4-FFF2-40B4-BE49-F238E27FC236}">
                <a16:creationId xmlns:a16="http://schemas.microsoft.com/office/drawing/2014/main" id="{00000000-0008-0000-0F00-00000C000000}"/>
              </a:ext>
            </a:extLst>
          </xdr:cNvPr>
          <xdr:cNvSpPr/>
        </xdr:nvSpPr>
        <xdr:spPr bwMode="auto">
          <a:xfrm>
            <a:off x="4114801" y="7009245"/>
            <a:ext cx="2159864" cy="4839854"/>
          </a:xfrm>
          <a:custGeom>
            <a:avLst/>
            <a:gdLst>
              <a:gd name="connsiteX0" fmla="*/ 2124075 w 2257425"/>
              <a:gd name="connsiteY0" fmla="*/ 0 h 4152900"/>
              <a:gd name="connsiteX1" fmla="*/ 0 w 2257425"/>
              <a:gd name="connsiteY1" fmla="*/ 390525 h 4152900"/>
              <a:gd name="connsiteX2" fmla="*/ 0 w 2257425"/>
              <a:gd name="connsiteY2" fmla="*/ 4152900 h 4152900"/>
              <a:gd name="connsiteX3" fmla="*/ 2257425 w 2257425"/>
              <a:gd name="connsiteY3" fmla="*/ 3457575 h 4152900"/>
              <a:gd name="connsiteX4" fmla="*/ 2124075 w 2257425"/>
              <a:gd name="connsiteY4" fmla="*/ 0 h 4152900"/>
              <a:gd name="connsiteX0" fmla="*/ 2143125 w 2276475"/>
              <a:gd name="connsiteY0" fmla="*/ 123825 h 4276725"/>
              <a:gd name="connsiteX1" fmla="*/ 0 w 2276475"/>
              <a:gd name="connsiteY1" fmla="*/ 0 h 4276725"/>
              <a:gd name="connsiteX2" fmla="*/ 19050 w 2276475"/>
              <a:gd name="connsiteY2" fmla="*/ 4276725 h 4276725"/>
              <a:gd name="connsiteX3" fmla="*/ 2276475 w 2276475"/>
              <a:gd name="connsiteY3" fmla="*/ 3581400 h 4276725"/>
              <a:gd name="connsiteX4" fmla="*/ 2143125 w 2276475"/>
              <a:gd name="connsiteY4" fmla="*/ 123825 h 4276725"/>
              <a:gd name="connsiteX0" fmla="*/ 2114550 w 2276475"/>
              <a:gd name="connsiteY0" fmla="*/ 0 h 4686300"/>
              <a:gd name="connsiteX1" fmla="*/ 0 w 2276475"/>
              <a:gd name="connsiteY1" fmla="*/ 409575 h 4686300"/>
              <a:gd name="connsiteX2" fmla="*/ 19050 w 2276475"/>
              <a:gd name="connsiteY2" fmla="*/ 4686300 h 4686300"/>
              <a:gd name="connsiteX3" fmla="*/ 2276475 w 2276475"/>
              <a:gd name="connsiteY3" fmla="*/ 3990975 h 4686300"/>
              <a:gd name="connsiteX4" fmla="*/ 2114550 w 2276475"/>
              <a:gd name="connsiteY4" fmla="*/ 0 h 4686300"/>
              <a:gd name="connsiteX0" fmla="*/ 2124075 w 2276475"/>
              <a:gd name="connsiteY0" fmla="*/ 0 h 4686300"/>
              <a:gd name="connsiteX1" fmla="*/ 0 w 2276475"/>
              <a:gd name="connsiteY1" fmla="*/ 409575 h 4686300"/>
              <a:gd name="connsiteX2" fmla="*/ 19050 w 2276475"/>
              <a:gd name="connsiteY2" fmla="*/ 4686300 h 4686300"/>
              <a:gd name="connsiteX3" fmla="*/ 2276475 w 2276475"/>
              <a:gd name="connsiteY3" fmla="*/ 3990975 h 4686300"/>
              <a:gd name="connsiteX4" fmla="*/ 2124075 w 2276475"/>
              <a:gd name="connsiteY4" fmla="*/ 0 h 4686300"/>
              <a:gd name="connsiteX0" fmla="*/ 2124075 w 2124075"/>
              <a:gd name="connsiteY0" fmla="*/ 0 h 4686300"/>
              <a:gd name="connsiteX1" fmla="*/ 0 w 2124075"/>
              <a:gd name="connsiteY1" fmla="*/ 409575 h 4686300"/>
              <a:gd name="connsiteX2" fmla="*/ 19050 w 2124075"/>
              <a:gd name="connsiteY2" fmla="*/ 4686300 h 4686300"/>
              <a:gd name="connsiteX3" fmla="*/ 2124075 w 2124075"/>
              <a:gd name="connsiteY3" fmla="*/ 4048125 h 4686300"/>
              <a:gd name="connsiteX4" fmla="*/ 2124075 w 2124075"/>
              <a:gd name="connsiteY4" fmla="*/ 0 h 4686300"/>
              <a:gd name="connsiteX0" fmla="*/ 2124075 w 2124075"/>
              <a:gd name="connsiteY0" fmla="*/ 0 h 4686300"/>
              <a:gd name="connsiteX1" fmla="*/ 0 w 2124075"/>
              <a:gd name="connsiteY1" fmla="*/ 409575 h 4686300"/>
              <a:gd name="connsiteX2" fmla="*/ 19050 w 2124075"/>
              <a:gd name="connsiteY2" fmla="*/ 4686300 h 4686300"/>
              <a:gd name="connsiteX3" fmla="*/ 2124075 w 2124075"/>
              <a:gd name="connsiteY3" fmla="*/ 4048125 h 4686300"/>
              <a:gd name="connsiteX4" fmla="*/ 2124075 w 2124075"/>
              <a:gd name="connsiteY4" fmla="*/ 0 h 4686300"/>
              <a:gd name="connsiteX0" fmla="*/ 2124075 w 2124075"/>
              <a:gd name="connsiteY0" fmla="*/ 0 h 5210175"/>
              <a:gd name="connsiteX1" fmla="*/ 0 w 2124075"/>
              <a:gd name="connsiteY1" fmla="*/ 409575 h 5210175"/>
              <a:gd name="connsiteX2" fmla="*/ 19050 w 2124075"/>
              <a:gd name="connsiteY2" fmla="*/ 5210175 h 5210175"/>
              <a:gd name="connsiteX3" fmla="*/ 2124075 w 2124075"/>
              <a:gd name="connsiteY3" fmla="*/ 4048125 h 5210175"/>
              <a:gd name="connsiteX4" fmla="*/ 2124075 w 2124075"/>
              <a:gd name="connsiteY4" fmla="*/ 0 h 5210175"/>
              <a:gd name="connsiteX0" fmla="*/ 2124075 w 2124075"/>
              <a:gd name="connsiteY0" fmla="*/ 0 h 5210175"/>
              <a:gd name="connsiteX1" fmla="*/ 0 w 2124075"/>
              <a:gd name="connsiteY1" fmla="*/ 409575 h 5210175"/>
              <a:gd name="connsiteX2" fmla="*/ 19050 w 2124075"/>
              <a:gd name="connsiteY2" fmla="*/ 5210175 h 5210175"/>
              <a:gd name="connsiteX3" fmla="*/ 2124075 w 2124075"/>
              <a:gd name="connsiteY3" fmla="*/ 4543425 h 5210175"/>
              <a:gd name="connsiteX4" fmla="*/ 2124075 w 2124075"/>
              <a:gd name="connsiteY4" fmla="*/ 0 h 5210175"/>
              <a:gd name="connsiteX0" fmla="*/ 2131240 w 2131240"/>
              <a:gd name="connsiteY0" fmla="*/ 0 h 4841975"/>
              <a:gd name="connsiteX1" fmla="*/ 0 w 2131240"/>
              <a:gd name="connsiteY1" fmla="*/ 41375 h 4841975"/>
              <a:gd name="connsiteX2" fmla="*/ 19050 w 2131240"/>
              <a:gd name="connsiteY2" fmla="*/ 4841975 h 4841975"/>
              <a:gd name="connsiteX3" fmla="*/ 2124075 w 2131240"/>
              <a:gd name="connsiteY3" fmla="*/ 4175225 h 4841975"/>
              <a:gd name="connsiteX4" fmla="*/ 2131240 w 2131240"/>
              <a:gd name="connsiteY4" fmla="*/ 0 h 4841975"/>
              <a:gd name="connsiteX0" fmla="*/ 2145572 w 2145572"/>
              <a:gd name="connsiteY0" fmla="*/ 0 h 4841975"/>
              <a:gd name="connsiteX1" fmla="*/ 0 w 2145572"/>
              <a:gd name="connsiteY1" fmla="*/ 777775 h 4841975"/>
              <a:gd name="connsiteX2" fmla="*/ 33382 w 2145572"/>
              <a:gd name="connsiteY2" fmla="*/ 4841975 h 4841975"/>
              <a:gd name="connsiteX3" fmla="*/ 2138407 w 2145572"/>
              <a:gd name="connsiteY3" fmla="*/ 4175225 h 4841975"/>
              <a:gd name="connsiteX4" fmla="*/ 2145572 w 2145572"/>
              <a:gd name="connsiteY4" fmla="*/ 0 h 4841975"/>
              <a:gd name="connsiteX0" fmla="*/ 2131239 w 2131239"/>
              <a:gd name="connsiteY0" fmla="*/ 0 h 4841975"/>
              <a:gd name="connsiteX1" fmla="*/ 0 w 2131239"/>
              <a:gd name="connsiteY1" fmla="*/ 740954 h 4841975"/>
              <a:gd name="connsiteX2" fmla="*/ 19049 w 2131239"/>
              <a:gd name="connsiteY2" fmla="*/ 4841975 h 4841975"/>
              <a:gd name="connsiteX3" fmla="*/ 2124074 w 2131239"/>
              <a:gd name="connsiteY3" fmla="*/ 4175225 h 4841975"/>
              <a:gd name="connsiteX4" fmla="*/ 2131239 w 2131239"/>
              <a:gd name="connsiteY4" fmla="*/ 0 h 48419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31239" h="4841975">
                <a:moveTo>
                  <a:pt x="2131239" y="0"/>
                </a:moveTo>
                <a:lnTo>
                  <a:pt x="0" y="740954"/>
                </a:lnTo>
                <a:cubicBezTo>
                  <a:pt x="6350" y="2107961"/>
                  <a:pt x="12699" y="3474968"/>
                  <a:pt x="19049" y="4841975"/>
                </a:cubicBezTo>
                <a:lnTo>
                  <a:pt x="2124074" y="4175225"/>
                </a:lnTo>
                <a:cubicBezTo>
                  <a:pt x="2126462" y="2783483"/>
                  <a:pt x="2128851" y="1391742"/>
                  <a:pt x="2131239" y="0"/>
                </a:cubicBez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1" name="Freeform 10">
            <a:extLst>
              <a:ext uri="{FF2B5EF4-FFF2-40B4-BE49-F238E27FC236}">
                <a16:creationId xmlns:a16="http://schemas.microsoft.com/office/drawing/2014/main" id="{00000000-0008-0000-0F00-00000B000000}"/>
              </a:ext>
            </a:extLst>
          </xdr:cNvPr>
          <xdr:cNvSpPr/>
        </xdr:nvSpPr>
        <xdr:spPr bwMode="auto">
          <a:xfrm>
            <a:off x="6267451" y="7000732"/>
            <a:ext cx="304800" cy="933592"/>
          </a:xfrm>
          <a:custGeom>
            <a:avLst/>
            <a:gdLst>
              <a:gd name="connsiteX0" fmla="*/ 295275 w 295275"/>
              <a:gd name="connsiteY0" fmla="*/ 209550 h 742950"/>
              <a:gd name="connsiteX1" fmla="*/ 0 w 295275"/>
              <a:gd name="connsiteY1" fmla="*/ 0 h 742950"/>
              <a:gd name="connsiteX2" fmla="*/ 0 w 295275"/>
              <a:gd name="connsiteY2" fmla="*/ 742950 h 742950"/>
              <a:gd name="connsiteX3" fmla="*/ 209550 w 295275"/>
              <a:gd name="connsiteY3" fmla="*/ 685800 h 742950"/>
              <a:gd name="connsiteX4" fmla="*/ 295275 w 295275"/>
              <a:gd name="connsiteY4" fmla="*/ 209550 h 742950"/>
              <a:gd name="connsiteX0" fmla="*/ 295275 w 295275"/>
              <a:gd name="connsiteY0" fmla="*/ 752475 h 1285875"/>
              <a:gd name="connsiteX1" fmla="*/ 0 w 295275"/>
              <a:gd name="connsiteY1" fmla="*/ 0 h 1285875"/>
              <a:gd name="connsiteX2" fmla="*/ 0 w 295275"/>
              <a:gd name="connsiteY2" fmla="*/ 1285875 h 1285875"/>
              <a:gd name="connsiteX3" fmla="*/ 209550 w 295275"/>
              <a:gd name="connsiteY3" fmla="*/ 1228725 h 1285875"/>
              <a:gd name="connsiteX4" fmla="*/ 295275 w 295275"/>
              <a:gd name="connsiteY4" fmla="*/ 752475 h 1285875"/>
              <a:gd name="connsiteX0" fmla="*/ 304800 w 304800"/>
              <a:gd name="connsiteY0" fmla="*/ 228600 h 1285875"/>
              <a:gd name="connsiteX1" fmla="*/ 0 w 304800"/>
              <a:gd name="connsiteY1" fmla="*/ 0 h 1285875"/>
              <a:gd name="connsiteX2" fmla="*/ 0 w 304800"/>
              <a:gd name="connsiteY2" fmla="*/ 1285875 h 1285875"/>
              <a:gd name="connsiteX3" fmla="*/ 209550 w 304800"/>
              <a:gd name="connsiteY3" fmla="*/ 1228725 h 1285875"/>
              <a:gd name="connsiteX4" fmla="*/ 304800 w 304800"/>
              <a:gd name="connsiteY4" fmla="*/ 228600 h 1285875"/>
              <a:gd name="connsiteX0" fmla="*/ 304800 w 304800"/>
              <a:gd name="connsiteY0" fmla="*/ 228600 h 1285875"/>
              <a:gd name="connsiteX1" fmla="*/ 0 w 304800"/>
              <a:gd name="connsiteY1" fmla="*/ 0 h 1285875"/>
              <a:gd name="connsiteX2" fmla="*/ 0 w 304800"/>
              <a:gd name="connsiteY2" fmla="*/ 1285875 h 1285875"/>
              <a:gd name="connsiteX3" fmla="*/ 295275 w 304800"/>
              <a:gd name="connsiteY3" fmla="*/ 1219200 h 1285875"/>
              <a:gd name="connsiteX4" fmla="*/ 304800 w 304800"/>
              <a:gd name="connsiteY4" fmla="*/ 228600 h 1285875"/>
              <a:gd name="connsiteX0" fmla="*/ 304800 w 304800"/>
              <a:gd name="connsiteY0" fmla="*/ 602155 h 1285875"/>
              <a:gd name="connsiteX1" fmla="*/ 0 w 304800"/>
              <a:gd name="connsiteY1" fmla="*/ 0 h 1285875"/>
              <a:gd name="connsiteX2" fmla="*/ 0 w 304800"/>
              <a:gd name="connsiteY2" fmla="*/ 1285875 h 1285875"/>
              <a:gd name="connsiteX3" fmla="*/ 295275 w 304800"/>
              <a:gd name="connsiteY3" fmla="*/ 1219200 h 1285875"/>
              <a:gd name="connsiteX4" fmla="*/ 304800 w 304800"/>
              <a:gd name="connsiteY4" fmla="*/ 602155 h 1285875"/>
              <a:gd name="connsiteX0" fmla="*/ 304800 w 304800"/>
              <a:gd name="connsiteY0" fmla="*/ 249744 h 933464"/>
              <a:gd name="connsiteX1" fmla="*/ 7109 w 304800"/>
              <a:gd name="connsiteY1" fmla="*/ 0 h 933464"/>
              <a:gd name="connsiteX2" fmla="*/ 0 w 304800"/>
              <a:gd name="connsiteY2" fmla="*/ 933464 h 933464"/>
              <a:gd name="connsiteX3" fmla="*/ 295275 w 304800"/>
              <a:gd name="connsiteY3" fmla="*/ 866789 h 933464"/>
              <a:gd name="connsiteX4" fmla="*/ 304800 w 304800"/>
              <a:gd name="connsiteY4" fmla="*/ 249744 h 9334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04800" h="933464">
                <a:moveTo>
                  <a:pt x="304800" y="249744"/>
                </a:moveTo>
                <a:lnTo>
                  <a:pt x="7109" y="0"/>
                </a:lnTo>
                <a:cubicBezTo>
                  <a:pt x="4739" y="311155"/>
                  <a:pt x="2370" y="622309"/>
                  <a:pt x="0" y="933464"/>
                </a:cubicBezTo>
                <a:lnTo>
                  <a:pt x="295275" y="866789"/>
                </a:lnTo>
                <a:lnTo>
                  <a:pt x="304800" y="249744"/>
                </a:lnTo>
                <a:close/>
              </a:path>
            </a:pathLst>
          </a:custGeom>
          <a:solidFill>
            <a:schemeClr val="accent1">
              <a:lumMod val="40000"/>
              <a:lumOff val="6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3" name="Freeform 2">
            <a:extLst>
              <a:ext uri="{FF2B5EF4-FFF2-40B4-BE49-F238E27FC236}">
                <a16:creationId xmlns:a16="http://schemas.microsoft.com/office/drawing/2014/main" id="{00000000-0008-0000-0F00-000003000000}"/>
              </a:ext>
            </a:extLst>
          </xdr:cNvPr>
          <xdr:cNvSpPr/>
        </xdr:nvSpPr>
        <xdr:spPr bwMode="auto">
          <a:xfrm>
            <a:off x="4572000" y="7274683"/>
            <a:ext cx="2019300" cy="5204972"/>
          </a:xfrm>
          <a:custGeom>
            <a:avLst/>
            <a:gdLst>
              <a:gd name="connsiteX0" fmla="*/ 0 w 1981200"/>
              <a:gd name="connsiteY0" fmla="*/ 1123950 h 4867275"/>
              <a:gd name="connsiteX1" fmla="*/ 1981200 w 1981200"/>
              <a:gd name="connsiteY1" fmla="*/ 0 h 4867275"/>
              <a:gd name="connsiteX2" fmla="*/ 1981200 w 1981200"/>
              <a:gd name="connsiteY2" fmla="*/ 3781425 h 4867275"/>
              <a:gd name="connsiteX3" fmla="*/ 0 w 1981200"/>
              <a:gd name="connsiteY3" fmla="*/ 4867275 h 4867275"/>
              <a:gd name="connsiteX4" fmla="*/ 0 w 1981200"/>
              <a:gd name="connsiteY4" fmla="*/ 1123950 h 4867275"/>
              <a:gd name="connsiteX0" fmla="*/ 0 w 1981200"/>
              <a:gd name="connsiteY0" fmla="*/ 1123950 h 4867275"/>
              <a:gd name="connsiteX1" fmla="*/ 1981200 w 1981200"/>
              <a:gd name="connsiteY1" fmla="*/ 0 h 4867275"/>
              <a:gd name="connsiteX2" fmla="*/ 1981200 w 1981200"/>
              <a:gd name="connsiteY2" fmla="*/ 3752850 h 4867275"/>
              <a:gd name="connsiteX3" fmla="*/ 0 w 1981200"/>
              <a:gd name="connsiteY3" fmla="*/ 4867275 h 4867275"/>
              <a:gd name="connsiteX4" fmla="*/ 0 w 1981200"/>
              <a:gd name="connsiteY4" fmla="*/ 1123950 h 4867275"/>
              <a:gd name="connsiteX0" fmla="*/ 0 w 1981200"/>
              <a:gd name="connsiteY0" fmla="*/ 1123950 h 4895850"/>
              <a:gd name="connsiteX1" fmla="*/ 1981200 w 1981200"/>
              <a:gd name="connsiteY1" fmla="*/ 0 h 4895850"/>
              <a:gd name="connsiteX2" fmla="*/ 1981200 w 1981200"/>
              <a:gd name="connsiteY2" fmla="*/ 3752850 h 4895850"/>
              <a:gd name="connsiteX3" fmla="*/ 0 w 1981200"/>
              <a:gd name="connsiteY3" fmla="*/ 4895850 h 4895850"/>
              <a:gd name="connsiteX4" fmla="*/ 0 w 1981200"/>
              <a:gd name="connsiteY4" fmla="*/ 1123950 h 4895850"/>
              <a:gd name="connsiteX0" fmla="*/ 0 w 1990725"/>
              <a:gd name="connsiteY0" fmla="*/ 1619250 h 5391150"/>
              <a:gd name="connsiteX1" fmla="*/ 1990725 w 1990725"/>
              <a:gd name="connsiteY1" fmla="*/ 0 h 5391150"/>
              <a:gd name="connsiteX2" fmla="*/ 1981200 w 1990725"/>
              <a:gd name="connsiteY2" fmla="*/ 4248150 h 5391150"/>
              <a:gd name="connsiteX3" fmla="*/ 0 w 1990725"/>
              <a:gd name="connsiteY3" fmla="*/ 5391150 h 5391150"/>
              <a:gd name="connsiteX4" fmla="*/ 0 w 1990725"/>
              <a:gd name="connsiteY4" fmla="*/ 1619250 h 5391150"/>
              <a:gd name="connsiteX0" fmla="*/ 0 w 2000250"/>
              <a:gd name="connsiteY0" fmla="*/ 1133475 h 5391150"/>
              <a:gd name="connsiteX1" fmla="*/ 2000250 w 2000250"/>
              <a:gd name="connsiteY1" fmla="*/ 0 h 5391150"/>
              <a:gd name="connsiteX2" fmla="*/ 1990725 w 2000250"/>
              <a:gd name="connsiteY2" fmla="*/ 4248150 h 5391150"/>
              <a:gd name="connsiteX3" fmla="*/ 9525 w 2000250"/>
              <a:gd name="connsiteY3" fmla="*/ 5391150 h 5391150"/>
              <a:gd name="connsiteX4" fmla="*/ 0 w 2000250"/>
              <a:gd name="connsiteY4" fmla="*/ 1133475 h 5391150"/>
              <a:gd name="connsiteX0" fmla="*/ 0 w 2000250"/>
              <a:gd name="connsiteY0" fmla="*/ 1095375 h 5391150"/>
              <a:gd name="connsiteX1" fmla="*/ 2000250 w 2000250"/>
              <a:gd name="connsiteY1" fmla="*/ 0 h 5391150"/>
              <a:gd name="connsiteX2" fmla="*/ 1990725 w 2000250"/>
              <a:gd name="connsiteY2" fmla="*/ 4248150 h 5391150"/>
              <a:gd name="connsiteX3" fmla="*/ 9525 w 2000250"/>
              <a:gd name="connsiteY3" fmla="*/ 5391150 h 5391150"/>
              <a:gd name="connsiteX4" fmla="*/ 0 w 2000250"/>
              <a:gd name="connsiteY4" fmla="*/ 1095375 h 5391150"/>
              <a:gd name="connsiteX0" fmla="*/ 0 w 2000250"/>
              <a:gd name="connsiteY0" fmla="*/ 1095375 h 5934075"/>
              <a:gd name="connsiteX1" fmla="*/ 2000250 w 2000250"/>
              <a:gd name="connsiteY1" fmla="*/ 0 h 5934075"/>
              <a:gd name="connsiteX2" fmla="*/ 1990725 w 2000250"/>
              <a:gd name="connsiteY2" fmla="*/ 4248150 h 5934075"/>
              <a:gd name="connsiteX3" fmla="*/ 9525 w 2000250"/>
              <a:gd name="connsiteY3" fmla="*/ 5934075 h 5934075"/>
              <a:gd name="connsiteX4" fmla="*/ 0 w 2000250"/>
              <a:gd name="connsiteY4" fmla="*/ 1095375 h 5934075"/>
              <a:gd name="connsiteX0" fmla="*/ 0 w 2000250"/>
              <a:gd name="connsiteY0" fmla="*/ 1095375 h 5934075"/>
              <a:gd name="connsiteX1" fmla="*/ 2000250 w 2000250"/>
              <a:gd name="connsiteY1" fmla="*/ 0 h 5934075"/>
              <a:gd name="connsiteX2" fmla="*/ 1981200 w 2000250"/>
              <a:gd name="connsiteY2" fmla="*/ 4762500 h 5934075"/>
              <a:gd name="connsiteX3" fmla="*/ 9525 w 2000250"/>
              <a:gd name="connsiteY3" fmla="*/ 5934075 h 5934075"/>
              <a:gd name="connsiteX4" fmla="*/ 0 w 2000250"/>
              <a:gd name="connsiteY4" fmla="*/ 1095375 h 5934075"/>
              <a:gd name="connsiteX0" fmla="*/ 0 w 2019300"/>
              <a:gd name="connsiteY0" fmla="*/ 1095375 h 5934075"/>
              <a:gd name="connsiteX1" fmla="*/ 2000250 w 2019300"/>
              <a:gd name="connsiteY1" fmla="*/ 0 h 5934075"/>
              <a:gd name="connsiteX2" fmla="*/ 2019300 w 2019300"/>
              <a:gd name="connsiteY2" fmla="*/ 4733506 h 5934075"/>
              <a:gd name="connsiteX3" fmla="*/ 9525 w 2019300"/>
              <a:gd name="connsiteY3" fmla="*/ 5934075 h 5934075"/>
              <a:gd name="connsiteX4" fmla="*/ 0 w 2019300"/>
              <a:gd name="connsiteY4" fmla="*/ 1095375 h 5934075"/>
              <a:gd name="connsiteX0" fmla="*/ 0 w 2026390"/>
              <a:gd name="connsiteY0" fmla="*/ 1223590 h 5934075"/>
              <a:gd name="connsiteX1" fmla="*/ 2007340 w 2026390"/>
              <a:gd name="connsiteY1" fmla="*/ 0 h 5934075"/>
              <a:gd name="connsiteX2" fmla="*/ 2026390 w 2026390"/>
              <a:gd name="connsiteY2" fmla="*/ 4733506 h 5934075"/>
              <a:gd name="connsiteX3" fmla="*/ 16615 w 2026390"/>
              <a:gd name="connsiteY3" fmla="*/ 5934075 h 5934075"/>
              <a:gd name="connsiteX4" fmla="*/ 0 w 2026390"/>
              <a:gd name="connsiteY4" fmla="*/ 1223590 h 5934075"/>
              <a:gd name="connsiteX0" fmla="*/ 0 w 2026390"/>
              <a:gd name="connsiteY0" fmla="*/ 1215577 h 5926062"/>
              <a:gd name="connsiteX1" fmla="*/ 2021520 w 2026390"/>
              <a:gd name="connsiteY1" fmla="*/ 0 h 5926062"/>
              <a:gd name="connsiteX2" fmla="*/ 2026390 w 2026390"/>
              <a:gd name="connsiteY2" fmla="*/ 4725493 h 5926062"/>
              <a:gd name="connsiteX3" fmla="*/ 16615 w 2026390"/>
              <a:gd name="connsiteY3" fmla="*/ 5926062 h 5926062"/>
              <a:gd name="connsiteX4" fmla="*/ 0 w 2026390"/>
              <a:gd name="connsiteY4" fmla="*/ 1215577 h 5926062"/>
              <a:gd name="connsiteX0" fmla="*/ 0 w 2019300"/>
              <a:gd name="connsiteY0" fmla="*/ 1255645 h 5926062"/>
              <a:gd name="connsiteX1" fmla="*/ 2014430 w 2019300"/>
              <a:gd name="connsiteY1" fmla="*/ 0 h 5926062"/>
              <a:gd name="connsiteX2" fmla="*/ 2019300 w 2019300"/>
              <a:gd name="connsiteY2" fmla="*/ 4725493 h 5926062"/>
              <a:gd name="connsiteX3" fmla="*/ 9525 w 2019300"/>
              <a:gd name="connsiteY3" fmla="*/ 5926062 h 5926062"/>
              <a:gd name="connsiteX4" fmla="*/ 0 w 2019300"/>
              <a:gd name="connsiteY4" fmla="*/ 1255645 h 592606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19300" h="5926062">
                <a:moveTo>
                  <a:pt x="0" y="1255645"/>
                </a:moveTo>
                <a:lnTo>
                  <a:pt x="2014430" y="0"/>
                </a:lnTo>
                <a:cubicBezTo>
                  <a:pt x="2016053" y="1575164"/>
                  <a:pt x="2017677" y="3150329"/>
                  <a:pt x="2019300" y="4725493"/>
                </a:cubicBezTo>
                <a:lnTo>
                  <a:pt x="9525" y="5926062"/>
                </a:lnTo>
                <a:cubicBezTo>
                  <a:pt x="3987" y="4355900"/>
                  <a:pt x="5538" y="2825807"/>
                  <a:pt x="0" y="1255645"/>
                </a:cubicBezTo>
                <a:close/>
              </a:path>
            </a:pathLst>
          </a:custGeom>
          <a:gradFill flip="none" rotWithShape="1">
            <a:gsLst>
              <a:gs pos="43000">
                <a:schemeClr val="accent1">
                  <a:lumMod val="20000"/>
                  <a:lumOff val="80000"/>
                </a:schemeClr>
              </a:gs>
              <a:gs pos="71000">
                <a:schemeClr val="accent1">
                  <a:tint val="44500"/>
                  <a:satMod val="160000"/>
                </a:schemeClr>
              </a:gs>
              <a:gs pos="100000">
                <a:schemeClr val="accent1">
                  <a:tint val="23500"/>
                  <a:satMod val="160000"/>
                </a:schemeClr>
              </a:gs>
            </a:gsLst>
            <a:lin ang="2700000" scaled="1"/>
            <a:tileRect/>
          </a:gra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4" name="Freeform 3">
            <a:extLst>
              <a:ext uri="{FF2B5EF4-FFF2-40B4-BE49-F238E27FC236}">
                <a16:creationId xmlns:a16="http://schemas.microsoft.com/office/drawing/2014/main" id="{00000000-0008-0000-0F00-000004000000}"/>
              </a:ext>
            </a:extLst>
          </xdr:cNvPr>
          <xdr:cNvSpPr/>
        </xdr:nvSpPr>
        <xdr:spPr bwMode="auto">
          <a:xfrm>
            <a:off x="4581525" y="7458075"/>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33" name="Freeform 232">
            <a:extLst>
              <a:ext uri="{FF2B5EF4-FFF2-40B4-BE49-F238E27FC236}">
                <a16:creationId xmlns:a16="http://schemas.microsoft.com/office/drawing/2014/main" id="{00000000-0008-0000-0F00-0000E9000000}"/>
              </a:ext>
            </a:extLst>
          </xdr:cNvPr>
          <xdr:cNvSpPr/>
        </xdr:nvSpPr>
        <xdr:spPr bwMode="auto">
          <a:xfrm>
            <a:off x="4581525" y="7553325"/>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nvGrpSpPr>
          <xdr:cNvPr id="18" name="Group 17">
            <a:extLst>
              <a:ext uri="{FF2B5EF4-FFF2-40B4-BE49-F238E27FC236}">
                <a16:creationId xmlns:a16="http://schemas.microsoft.com/office/drawing/2014/main" id="{00000000-0008-0000-0F00-000012000000}"/>
              </a:ext>
            </a:extLst>
          </xdr:cNvPr>
          <xdr:cNvGrpSpPr/>
        </xdr:nvGrpSpPr>
        <xdr:grpSpPr>
          <a:xfrm>
            <a:off x="4574833" y="7239732"/>
            <a:ext cx="2004521" cy="1444726"/>
            <a:chOff x="5184465" y="7183049"/>
            <a:chExt cx="2004474" cy="1501201"/>
          </a:xfrm>
        </xdr:grpSpPr>
        <xdr:sp macro="" textlink="">
          <xdr:nvSpPr>
            <xdr:cNvPr id="6" name="Freeform 5">
              <a:extLst>
                <a:ext uri="{FF2B5EF4-FFF2-40B4-BE49-F238E27FC236}">
                  <a16:creationId xmlns:a16="http://schemas.microsoft.com/office/drawing/2014/main" id="{00000000-0008-0000-0F00-000006000000}"/>
                </a:ext>
              </a:extLst>
            </xdr:cNvPr>
            <xdr:cNvSpPr/>
          </xdr:nvSpPr>
          <xdr:spPr bwMode="auto">
            <a:xfrm>
              <a:off x="5400674" y="7292114"/>
              <a:ext cx="1643170" cy="130385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8"/>
                <a:gd name="connsiteY0" fmla="*/ 1049752 h 1049752"/>
                <a:gd name="connsiteX1" fmla="*/ 0 w 1653288"/>
                <a:gd name="connsiteY1" fmla="*/ 359303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7"/>
                <a:gd name="connsiteY0" fmla="*/ 1608336 h 1608336"/>
                <a:gd name="connsiteX1" fmla="*/ 0 w 1653287"/>
                <a:gd name="connsiteY1" fmla="*/ 917887 h 1608336"/>
                <a:gd name="connsiteX2" fmla="*/ 1643786 w 1653287"/>
                <a:gd name="connsiteY2" fmla="*/ 0 h 1608336"/>
                <a:gd name="connsiteX3" fmla="*/ 1653287 w 1653287"/>
                <a:gd name="connsiteY3" fmla="*/ 644395 h 1608336"/>
                <a:gd name="connsiteX4" fmla="*/ 0 w 1653287"/>
                <a:gd name="connsiteY4" fmla="*/ 1608336 h 1608336"/>
                <a:gd name="connsiteX0" fmla="*/ 0 w 1653287"/>
                <a:gd name="connsiteY0" fmla="*/ 1608336 h 1608336"/>
                <a:gd name="connsiteX1" fmla="*/ 0 w 1653287"/>
                <a:gd name="connsiteY1" fmla="*/ 1160988 h 1608336"/>
                <a:gd name="connsiteX2" fmla="*/ 1643786 w 1653287"/>
                <a:gd name="connsiteY2" fmla="*/ 0 h 1608336"/>
                <a:gd name="connsiteX3" fmla="*/ 1653287 w 1653287"/>
                <a:gd name="connsiteY3" fmla="*/ 644395 h 1608336"/>
                <a:gd name="connsiteX4" fmla="*/ 0 w 1653287"/>
                <a:gd name="connsiteY4" fmla="*/ 1608336 h 1608336"/>
                <a:gd name="connsiteX0" fmla="*/ 0 w 1653287"/>
                <a:gd name="connsiteY0" fmla="*/ 1355313 h 1355313"/>
                <a:gd name="connsiteX1" fmla="*/ 0 w 1653287"/>
                <a:gd name="connsiteY1" fmla="*/ 907965 h 1355313"/>
                <a:gd name="connsiteX2" fmla="*/ 1641354 w 1653287"/>
                <a:gd name="connsiteY2" fmla="*/ 0 h 1355313"/>
                <a:gd name="connsiteX3" fmla="*/ 1653287 w 1653287"/>
                <a:gd name="connsiteY3" fmla="*/ 391372 h 1355313"/>
                <a:gd name="connsiteX4" fmla="*/ 0 w 1653287"/>
                <a:gd name="connsiteY4" fmla="*/ 1355313 h 1355313"/>
                <a:gd name="connsiteX0" fmla="*/ 0 w 1653287"/>
                <a:gd name="connsiteY0" fmla="*/ 1355313 h 1355313"/>
                <a:gd name="connsiteX1" fmla="*/ 0 w 1653287"/>
                <a:gd name="connsiteY1" fmla="*/ 981926 h 1355313"/>
                <a:gd name="connsiteX2" fmla="*/ 1641354 w 1653287"/>
                <a:gd name="connsiteY2" fmla="*/ 0 h 1355313"/>
                <a:gd name="connsiteX3" fmla="*/ 1653287 w 1653287"/>
                <a:gd name="connsiteY3" fmla="*/ 391372 h 1355313"/>
                <a:gd name="connsiteX4" fmla="*/ 0 w 1653287"/>
                <a:gd name="connsiteY4" fmla="*/ 1355313 h 1355313"/>
                <a:gd name="connsiteX0" fmla="*/ 0 w 1653287"/>
                <a:gd name="connsiteY0" fmla="*/ 1333125 h 1333125"/>
                <a:gd name="connsiteX1" fmla="*/ 0 w 1653287"/>
                <a:gd name="connsiteY1" fmla="*/ 959738 h 1333125"/>
                <a:gd name="connsiteX2" fmla="*/ 1634281 w 1653287"/>
                <a:gd name="connsiteY2" fmla="*/ 0 h 1333125"/>
                <a:gd name="connsiteX3" fmla="*/ 1653287 w 1653287"/>
                <a:gd name="connsiteY3" fmla="*/ 369184 h 1333125"/>
                <a:gd name="connsiteX4" fmla="*/ 0 w 1653287"/>
                <a:gd name="connsiteY4" fmla="*/ 1333125 h 1333125"/>
                <a:gd name="connsiteX0" fmla="*/ 0 w 1653287"/>
                <a:gd name="connsiteY0" fmla="*/ 1310938 h 1310938"/>
                <a:gd name="connsiteX1" fmla="*/ 0 w 1653287"/>
                <a:gd name="connsiteY1" fmla="*/ 959738 h 1310938"/>
                <a:gd name="connsiteX2" fmla="*/ 1634281 w 1653287"/>
                <a:gd name="connsiteY2" fmla="*/ 0 h 1310938"/>
                <a:gd name="connsiteX3" fmla="*/ 1653287 w 1653287"/>
                <a:gd name="connsiteY3" fmla="*/ 369184 h 1310938"/>
                <a:gd name="connsiteX4" fmla="*/ 0 w 1653287"/>
                <a:gd name="connsiteY4" fmla="*/ 1310938 h 1310938"/>
                <a:gd name="connsiteX0" fmla="*/ 0 w 1660359"/>
                <a:gd name="connsiteY0" fmla="*/ 1325730 h 1325730"/>
                <a:gd name="connsiteX1" fmla="*/ 7072 w 1660359"/>
                <a:gd name="connsiteY1" fmla="*/ 959738 h 1325730"/>
                <a:gd name="connsiteX2" fmla="*/ 1641353 w 1660359"/>
                <a:gd name="connsiteY2" fmla="*/ 0 h 1325730"/>
                <a:gd name="connsiteX3" fmla="*/ 1660359 w 1660359"/>
                <a:gd name="connsiteY3" fmla="*/ 369184 h 1325730"/>
                <a:gd name="connsiteX4" fmla="*/ 0 w 1660359"/>
                <a:gd name="connsiteY4" fmla="*/ 1325730 h 1325730"/>
                <a:gd name="connsiteX0" fmla="*/ 0 w 1646214"/>
                <a:gd name="connsiteY0" fmla="*/ 1325730 h 1325730"/>
                <a:gd name="connsiteX1" fmla="*/ 7072 w 1646214"/>
                <a:gd name="connsiteY1" fmla="*/ 959738 h 1325730"/>
                <a:gd name="connsiteX2" fmla="*/ 1641353 w 1646214"/>
                <a:gd name="connsiteY2" fmla="*/ 0 h 1325730"/>
                <a:gd name="connsiteX3" fmla="*/ 1646214 w 1646214"/>
                <a:gd name="connsiteY3" fmla="*/ 369184 h 1325730"/>
                <a:gd name="connsiteX4" fmla="*/ 0 w 1646214"/>
                <a:gd name="connsiteY4" fmla="*/ 1325730 h 1325730"/>
                <a:gd name="connsiteX0" fmla="*/ 14145 w 1639142"/>
                <a:gd name="connsiteY0" fmla="*/ 1318333 h 1318333"/>
                <a:gd name="connsiteX1" fmla="*/ 0 w 1639142"/>
                <a:gd name="connsiteY1" fmla="*/ 959738 h 1318333"/>
                <a:gd name="connsiteX2" fmla="*/ 1634281 w 1639142"/>
                <a:gd name="connsiteY2" fmla="*/ 0 h 1318333"/>
                <a:gd name="connsiteX3" fmla="*/ 1639142 w 1639142"/>
                <a:gd name="connsiteY3" fmla="*/ 369184 h 1318333"/>
                <a:gd name="connsiteX4" fmla="*/ 14145 w 1639142"/>
                <a:gd name="connsiteY4" fmla="*/ 1318333 h 131833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9142" h="1318333">
                  <a:moveTo>
                    <a:pt x="14145" y="1318333"/>
                  </a:moveTo>
                  <a:lnTo>
                    <a:pt x="0" y="959738"/>
                  </a:lnTo>
                  <a:cubicBezTo>
                    <a:pt x="551096" y="644145"/>
                    <a:pt x="1083185" y="315593"/>
                    <a:pt x="1634281" y="0"/>
                  </a:cubicBezTo>
                  <a:cubicBezTo>
                    <a:pt x="1634281" y="30510"/>
                    <a:pt x="1639142" y="338674"/>
                    <a:pt x="1639142" y="369184"/>
                  </a:cubicBezTo>
                  <a:lnTo>
                    <a:pt x="14145" y="1318333"/>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7" name="Freeform 6">
              <a:extLst>
                <a:ext uri="{FF2B5EF4-FFF2-40B4-BE49-F238E27FC236}">
                  <a16:creationId xmlns:a16="http://schemas.microsoft.com/office/drawing/2014/main" id="{00000000-0008-0000-0F00-000007000000}"/>
                </a:ext>
              </a:extLst>
            </xdr:cNvPr>
            <xdr:cNvSpPr/>
          </xdr:nvSpPr>
          <xdr:spPr bwMode="auto">
            <a:xfrm>
              <a:off x="5184465" y="8240837"/>
              <a:ext cx="216208" cy="443413"/>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682902 h 682902"/>
                <a:gd name="connsiteX1" fmla="*/ 200225 w 200225"/>
                <a:gd name="connsiteY1" fmla="*/ 617114 h 682902"/>
                <a:gd name="connsiteX2" fmla="*/ 194505 w 200225"/>
                <a:gd name="connsiteY2" fmla="*/ 519862 h 682902"/>
                <a:gd name="connsiteX3" fmla="*/ 0 w 200225"/>
                <a:gd name="connsiteY3" fmla="*/ 624 h 682902"/>
                <a:gd name="connsiteX4" fmla="*/ 2861 w 200225"/>
                <a:gd name="connsiteY4" fmla="*/ 682902 h 682902"/>
                <a:gd name="connsiteX0" fmla="*/ 2861 w 200225"/>
                <a:gd name="connsiteY0" fmla="*/ 654164 h 654164"/>
                <a:gd name="connsiteX1" fmla="*/ 200225 w 200225"/>
                <a:gd name="connsiteY1" fmla="*/ 588376 h 654164"/>
                <a:gd name="connsiteX2" fmla="*/ 194505 w 200225"/>
                <a:gd name="connsiteY2" fmla="*/ 491124 h 654164"/>
                <a:gd name="connsiteX3" fmla="*/ 0 w 200225"/>
                <a:gd name="connsiteY3" fmla="*/ 658 h 654164"/>
                <a:gd name="connsiteX4" fmla="*/ 2861 w 200225"/>
                <a:gd name="connsiteY4" fmla="*/ 654164 h 654164"/>
                <a:gd name="connsiteX0" fmla="*/ 2861 w 200225"/>
                <a:gd name="connsiteY0" fmla="*/ 719293 h 719293"/>
                <a:gd name="connsiteX1" fmla="*/ 200225 w 200225"/>
                <a:gd name="connsiteY1" fmla="*/ 653505 h 719293"/>
                <a:gd name="connsiteX2" fmla="*/ 184971 w 200225"/>
                <a:gd name="connsiteY2" fmla="*/ 0 h 719293"/>
                <a:gd name="connsiteX3" fmla="*/ 0 w 200225"/>
                <a:gd name="connsiteY3" fmla="*/ 65787 h 719293"/>
                <a:gd name="connsiteX4" fmla="*/ 2861 w 200225"/>
                <a:gd name="connsiteY4" fmla="*/ 719293 h 719293"/>
                <a:gd name="connsiteX0" fmla="*/ 7629 w 204993"/>
                <a:gd name="connsiteY0" fmla="*/ 719293 h 719293"/>
                <a:gd name="connsiteX1" fmla="*/ 204993 w 204993"/>
                <a:gd name="connsiteY1" fmla="*/ 653505 h 719293"/>
                <a:gd name="connsiteX2" fmla="*/ 189739 w 204993"/>
                <a:gd name="connsiteY2" fmla="*/ 0 h 719293"/>
                <a:gd name="connsiteX3" fmla="*/ 0 w 204993"/>
                <a:gd name="connsiteY3" fmla="*/ 284803 h 719293"/>
                <a:gd name="connsiteX4" fmla="*/ 7629 w 204993"/>
                <a:gd name="connsiteY4" fmla="*/ 719293 h 719293"/>
                <a:gd name="connsiteX0" fmla="*/ 7629 w 204993"/>
                <a:gd name="connsiteY0" fmla="*/ 493362 h 493362"/>
                <a:gd name="connsiteX1" fmla="*/ 204993 w 204993"/>
                <a:gd name="connsiteY1" fmla="*/ 427574 h 493362"/>
                <a:gd name="connsiteX2" fmla="*/ 204041 w 204993"/>
                <a:gd name="connsiteY2" fmla="*/ 0 h 493362"/>
                <a:gd name="connsiteX3" fmla="*/ 0 w 204993"/>
                <a:gd name="connsiteY3" fmla="*/ 58872 h 493362"/>
                <a:gd name="connsiteX4" fmla="*/ 7629 w 204993"/>
                <a:gd name="connsiteY4" fmla="*/ 493362 h 493362"/>
                <a:gd name="connsiteX0" fmla="*/ 2862 w 204993"/>
                <a:gd name="connsiteY0" fmla="*/ 507195 h 507195"/>
                <a:gd name="connsiteX1" fmla="*/ 204993 w 204993"/>
                <a:gd name="connsiteY1" fmla="*/ 427574 h 507195"/>
                <a:gd name="connsiteX2" fmla="*/ 204041 w 204993"/>
                <a:gd name="connsiteY2" fmla="*/ 0 h 507195"/>
                <a:gd name="connsiteX3" fmla="*/ 0 w 204993"/>
                <a:gd name="connsiteY3" fmla="*/ 58872 h 507195"/>
                <a:gd name="connsiteX4" fmla="*/ 2862 w 204993"/>
                <a:gd name="connsiteY4" fmla="*/ 507195 h 507195"/>
                <a:gd name="connsiteX0" fmla="*/ 9959 w 212090"/>
                <a:gd name="connsiteY0" fmla="*/ 507195 h 507195"/>
                <a:gd name="connsiteX1" fmla="*/ 212090 w 212090"/>
                <a:gd name="connsiteY1" fmla="*/ 427574 h 507195"/>
                <a:gd name="connsiteX2" fmla="*/ 211138 w 212090"/>
                <a:gd name="connsiteY2" fmla="*/ 0 h 507195"/>
                <a:gd name="connsiteX3" fmla="*/ 0 w 212090"/>
                <a:gd name="connsiteY3" fmla="*/ 143854 h 507195"/>
                <a:gd name="connsiteX4" fmla="*/ 9959 w 212090"/>
                <a:gd name="connsiteY4" fmla="*/ 507195 h 507195"/>
                <a:gd name="connsiteX0" fmla="*/ 9959 w 218244"/>
                <a:gd name="connsiteY0" fmla="*/ 450541 h 450541"/>
                <a:gd name="connsiteX1" fmla="*/ 212090 w 218244"/>
                <a:gd name="connsiteY1" fmla="*/ 370920 h 450541"/>
                <a:gd name="connsiteX2" fmla="*/ 218234 w 218244"/>
                <a:gd name="connsiteY2" fmla="*/ 0 h 450541"/>
                <a:gd name="connsiteX3" fmla="*/ 0 w 218244"/>
                <a:gd name="connsiteY3" fmla="*/ 87200 h 450541"/>
                <a:gd name="connsiteX4" fmla="*/ 9959 w 218244"/>
                <a:gd name="connsiteY4" fmla="*/ 450541 h 450541"/>
                <a:gd name="connsiteX0" fmla="*/ 9959 w 212090"/>
                <a:gd name="connsiteY0" fmla="*/ 443458 h 443458"/>
                <a:gd name="connsiteX1" fmla="*/ 212090 w 212090"/>
                <a:gd name="connsiteY1" fmla="*/ 363837 h 443458"/>
                <a:gd name="connsiteX2" fmla="*/ 196944 w 212090"/>
                <a:gd name="connsiteY2" fmla="*/ 0 h 443458"/>
                <a:gd name="connsiteX3" fmla="*/ 0 w 212090"/>
                <a:gd name="connsiteY3" fmla="*/ 80117 h 443458"/>
                <a:gd name="connsiteX4" fmla="*/ 9959 w 212090"/>
                <a:gd name="connsiteY4" fmla="*/ 443458 h 443458"/>
                <a:gd name="connsiteX0" fmla="*/ 101 w 216425"/>
                <a:gd name="connsiteY0" fmla="*/ 436376 h 436376"/>
                <a:gd name="connsiteX1" fmla="*/ 216425 w 216425"/>
                <a:gd name="connsiteY1" fmla="*/ 363837 h 436376"/>
                <a:gd name="connsiteX2" fmla="*/ 201279 w 216425"/>
                <a:gd name="connsiteY2" fmla="*/ 0 h 436376"/>
                <a:gd name="connsiteX3" fmla="*/ 4335 w 216425"/>
                <a:gd name="connsiteY3" fmla="*/ 80117 h 436376"/>
                <a:gd name="connsiteX4" fmla="*/ 101 w 216425"/>
                <a:gd name="connsiteY4" fmla="*/ 436376 h 436376"/>
                <a:gd name="connsiteX0" fmla="*/ 101 w 209328"/>
                <a:gd name="connsiteY0" fmla="*/ 436376 h 436376"/>
                <a:gd name="connsiteX1" fmla="*/ 209328 w 209328"/>
                <a:gd name="connsiteY1" fmla="*/ 335509 h 436376"/>
                <a:gd name="connsiteX2" fmla="*/ 201279 w 209328"/>
                <a:gd name="connsiteY2" fmla="*/ 0 h 436376"/>
                <a:gd name="connsiteX3" fmla="*/ 4335 w 209328"/>
                <a:gd name="connsiteY3" fmla="*/ 80117 h 436376"/>
                <a:gd name="connsiteX4" fmla="*/ 101 w 209328"/>
                <a:gd name="connsiteY4" fmla="*/ 436376 h 436376"/>
                <a:gd name="connsiteX0" fmla="*/ 101 w 209328"/>
                <a:gd name="connsiteY0" fmla="*/ 436376 h 436376"/>
                <a:gd name="connsiteX1" fmla="*/ 209328 w 209328"/>
                <a:gd name="connsiteY1" fmla="*/ 349672 h 436376"/>
                <a:gd name="connsiteX2" fmla="*/ 201279 w 209328"/>
                <a:gd name="connsiteY2" fmla="*/ 0 h 436376"/>
                <a:gd name="connsiteX3" fmla="*/ 4335 w 209328"/>
                <a:gd name="connsiteY3" fmla="*/ 80117 h 436376"/>
                <a:gd name="connsiteX4" fmla="*/ 101 w 209328"/>
                <a:gd name="connsiteY4" fmla="*/ 436376 h 436376"/>
                <a:gd name="connsiteX0" fmla="*/ 101 w 223522"/>
                <a:gd name="connsiteY0" fmla="*/ 436376 h 436376"/>
                <a:gd name="connsiteX1" fmla="*/ 223522 w 223522"/>
                <a:gd name="connsiteY1" fmla="*/ 335509 h 436376"/>
                <a:gd name="connsiteX2" fmla="*/ 201279 w 223522"/>
                <a:gd name="connsiteY2" fmla="*/ 0 h 436376"/>
                <a:gd name="connsiteX3" fmla="*/ 4335 w 223522"/>
                <a:gd name="connsiteY3" fmla="*/ 80117 h 436376"/>
                <a:gd name="connsiteX4" fmla="*/ 101 w 223522"/>
                <a:gd name="connsiteY4" fmla="*/ 436376 h 436376"/>
                <a:gd name="connsiteX0" fmla="*/ 101 w 223522"/>
                <a:gd name="connsiteY0" fmla="*/ 436376 h 436376"/>
                <a:gd name="connsiteX1" fmla="*/ 223522 w 223522"/>
                <a:gd name="connsiteY1" fmla="*/ 349672 h 436376"/>
                <a:gd name="connsiteX2" fmla="*/ 201279 w 223522"/>
                <a:gd name="connsiteY2" fmla="*/ 0 h 436376"/>
                <a:gd name="connsiteX3" fmla="*/ 4335 w 223522"/>
                <a:gd name="connsiteY3" fmla="*/ 80117 h 436376"/>
                <a:gd name="connsiteX4" fmla="*/ 101 w 223522"/>
                <a:gd name="connsiteY4" fmla="*/ 436376 h 436376"/>
                <a:gd name="connsiteX0" fmla="*/ 101 w 216425"/>
                <a:gd name="connsiteY0" fmla="*/ 436376 h 436376"/>
                <a:gd name="connsiteX1" fmla="*/ 216425 w 216425"/>
                <a:gd name="connsiteY1" fmla="*/ 342591 h 436376"/>
                <a:gd name="connsiteX2" fmla="*/ 201279 w 216425"/>
                <a:gd name="connsiteY2" fmla="*/ 0 h 436376"/>
                <a:gd name="connsiteX3" fmla="*/ 4335 w 216425"/>
                <a:gd name="connsiteY3" fmla="*/ 80117 h 436376"/>
                <a:gd name="connsiteX4" fmla="*/ 101 w 216425"/>
                <a:gd name="connsiteY4" fmla="*/ 436376 h 436376"/>
                <a:gd name="connsiteX0" fmla="*/ 101 w 216425"/>
                <a:gd name="connsiteY0" fmla="*/ 436376 h 436376"/>
                <a:gd name="connsiteX1" fmla="*/ 216425 w 216425"/>
                <a:gd name="connsiteY1" fmla="*/ 342591 h 436376"/>
                <a:gd name="connsiteX2" fmla="*/ 215473 w 216425"/>
                <a:gd name="connsiteY2" fmla="*/ 0 h 436376"/>
                <a:gd name="connsiteX3" fmla="*/ 4335 w 216425"/>
                <a:gd name="connsiteY3" fmla="*/ 80117 h 436376"/>
                <a:gd name="connsiteX4" fmla="*/ 101 w 216425"/>
                <a:gd name="connsiteY4" fmla="*/ 436376 h 436376"/>
                <a:gd name="connsiteX0" fmla="*/ 101 w 216425"/>
                <a:gd name="connsiteY0" fmla="*/ 422212 h 422212"/>
                <a:gd name="connsiteX1" fmla="*/ 216425 w 216425"/>
                <a:gd name="connsiteY1" fmla="*/ 328427 h 422212"/>
                <a:gd name="connsiteX2" fmla="*/ 201280 w 216425"/>
                <a:gd name="connsiteY2" fmla="*/ 0 h 422212"/>
                <a:gd name="connsiteX3" fmla="*/ 4335 w 216425"/>
                <a:gd name="connsiteY3" fmla="*/ 65953 h 422212"/>
                <a:gd name="connsiteX4" fmla="*/ 101 w 216425"/>
                <a:gd name="connsiteY4" fmla="*/ 422212 h 422212"/>
                <a:gd name="connsiteX0" fmla="*/ 101 w 216425"/>
                <a:gd name="connsiteY0" fmla="*/ 422212 h 422212"/>
                <a:gd name="connsiteX1" fmla="*/ 216425 w 216425"/>
                <a:gd name="connsiteY1" fmla="*/ 349673 h 422212"/>
                <a:gd name="connsiteX2" fmla="*/ 201280 w 216425"/>
                <a:gd name="connsiteY2" fmla="*/ 0 h 422212"/>
                <a:gd name="connsiteX3" fmla="*/ 4335 w 216425"/>
                <a:gd name="connsiteY3" fmla="*/ 65953 h 422212"/>
                <a:gd name="connsiteX4" fmla="*/ 101 w 216425"/>
                <a:gd name="connsiteY4" fmla="*/ 422212 h 422212"/>
                <a:gd name="connsiteX0" fmla="*/ 101 w 209328"/>
                <a:gd name="connsiteY0" fmla="*/ 422212 h 422212"/>
                <a:gd name="connsiteX1" fmla="*/ 209328 w 209328"/>
                <a:gd name="connsiteY1" fmla="*/ 349673 h 422212"/>
                <a:gd name="connsiteX2" fmla="*/ 201280 w 209328"/>
                <a:gd name="connsiteY2" fmla="*/ 0 h 422212"/>
                <a:gd name="connsiteX3" fmla="*/ 4335 w 209328"/>
                <a:gd name="connsiteY3" fmla="*/ 65953 h 422212"/>
                <a:gd name="connsiteX4" fmla="*/ 101 w 209328"/>
                <a:gd name="connsiteY4" fmla="*/ 422212 h 422212"/>
                <a:gd name="connsiteX0" fmla="*/ 101 w 230618"/>
                <a:gd name="connsiteY0" fmla="*/ 422212 h 422212"/>
                <a:gd name="connsiteX1" fmla="*/ 230618 w 230618"/>
                <a:gd name="connsiteY1" fmla="*/ 349673 h 422212"/>
                <a:gd name="connsiteX2" fmla="*/ 201280 w 230618"/>
                <a:gd name="connsiteY2" fmla="*/ 0 h 422212"/>
                <a:gd name="connsiteX3" fmla="*/ 4335 w 230618"/>
                <a:gd name="connsiteY3" fmla="*/ 65953 h 422212"/>
                <a:gd name="connsiteX4" fmla="*/ 101 w 230618"/>
                <a:gd name="connsiteY4" fmla="*/ 422212 h 422212"/>
                <a:gd name="connsiteX0" fmla="*/ 101 w 216423"/>
                <a:gd name="connsiteY0" fmla="*/ 422212 h 422212"/>
                <a:gd name="connsiteX1" fmla="*/ 216423 w 216423"/>
                <a:gd name="connsiteY1" fmla="*/ 349673 h 422212"/>
                <a:gd name="connsiteX2" fmla="*/ 201280 w 216423"/>
                <a:gd name="connsiteY2" fmla="*/ 0 h 422212"/>
                <a:gd name="connsiteX3" fmla="*/ 4335 w 216423"/>
                <a:gd name="connsiteY3" fmla="*/ 65953 h 422212"/>
                <a:gd name="connsiteX4" fmla="*/ 101 w 216423"/>
                <a:gd name="connsiteY4" fmla="*/ 422212 h 422212"/>
                <a:gd name="connsiteX0" fmla="*/ 101 w 216423"/>
                <a:gd name="connsiteY0" fmla="*/ 429294 h 429294"/>
                <a:gd name="connsiteX1" fmla="*/ 216423 w 216423"/>
                <a:gd name="connsiteY1" fmla="*/ 356755 h 429294"/>
                <a:gd name="connsiteX2" fmla="*/ 215474 w 216423"/>
                <a:gd name="connsiteY2" fmla="*/ 0 h 429294"/>
                <a:gd name="connsiteX3" fmla="*/ 4335 w 216423"/>
                <a:gd name="connsiteY3" fmla="*/ 73035 h 429294"/>
                <a:gd name="connsiteX4" fmla="*/ 101 w 216423"/>
                <a:gd name="connsiteY4" fmla="*/ 429294 h 4292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6423" h="429294">
                  <a:moveTo>
                    <a:pt x="101" y="429294"/>
                  </a:moveTo>
                  <a:lnTo>
                    <a:pt x="216423" y="356755"/>
                  </a:lnTo>
                  <a:cubicBezTo>
                    <a:pt x="216106" y="214230"/>
                    <a:pt x="215791" y="142525"/>
                    <a:pt x="215474" y="0"/>
                  </a:cubicBezTo>
                  <a:lnTo>
                    <a:pt x="4335" y="73035"/>
                  </a:lnTo>
                  <a:cubicBezTo>
                    <a:pt x="5289" y="105452"/>
                    <a:pt x="-853" y="396877"/>
                    <a:pt x="101" y="429294"/>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38" name="Freeform 237">
              <a:extLst>
                <a:ext uri="{FF2B5EF4-FFF2-40B4-BE49-F238E27FC236}">
                  <a16:creationId xmlns:a16="http://schemas.microsoft.com/office/drawing/2014/main" id="{00000000-0008-0000-0F00-0000EE000000}"/>
                </a:ext>
              </a:extLst>
            </xdr:cNvPr>
            <xdr:cNvSpPr/>
          </xdr:nvSpPr>
          <xdr:spPr bwMode="auto">
            <a:xfrm>
              <a:off x="7039255" y="7183049"/>
              <a:ext cx="149684" cy="475051"/>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 name="connsiteX0" fmla="*/ 18639 w 130193"/>
                <a:gd name="connsiteY0" fmla="*/ 611104 h 611104"/>
                <a:gd name="connsiteX1" fmla="*/ 130192 w 130193"/>
                <a:gd name="connsiteY1" fmla="*/ 519574 h 611104"/>
                <a:gd name="connsiteX2" fmla="*/ 130193 w 130193"/>
                <a:gd name="connsiteY2" fmla="*/ 410881 h 611104"/>
                <a:gd name="connsiteX3" fmla="*/ 0 w 130193"/>
                <a:gd name="connsiteY3" fmla="*/ 1856 h 611104"/>
                <a:gd name="connsiteX4" fmla="*/ 18639 w 130193"/>
                <a:gd name="connsiteY4" fmla="*/ 611104 h 611104"/>
                <a:gd name="connsiteX0" fmla="*/ 9320 w 120874"/>
                <a:gd name="connsiteY0" fmla="*/ 601607 h 601607"/>
                <a:gd name="connsiteX1" fmla="*/ 120873 w 120874"/>
                <a:gd name="connsiteY1" fmla="*/ 510077 h 601607"/>
                <a:gd name="connsiteX2" fmla="*/ 120874 w 120874"/>
                <a:gd name="connsiteY2" fmla="*/ 401384 h 601607"/>
                <a:gd name="connsiteX3" fmla="*/ 0 w 120874"/>
                <a:gd name="connsiteY3" fmla="*/ 1893 h 601607"/>
                <a:gd name="connsiteX4" fmla="*/ 9320 w 120874"/>
                <a:gd name="connsiteY4" fmla="*/ 601607 h 601607"/>
                <a:gd name="connsiteX0" fmla="*/ 9320 w 120874"/>
                <a:gd name="connsiteY0" fmla="*/ 762754 h 762754"/>
                <a:gd name="connsiteX1" fmla="*/ 120873 w 120874"/>
                <a:gd name="connsiteY1" fmla="*/ 671224 h 762754"/>
                <a:gd name="connsiteX2" fmla="*/ 120874 w 120874"/>
                <a:gd name="connsiteY2" fmla="*/ 0 h 762754"/>
                <a:gd name="connsiteX3" fmla="*/ 0 w 120874"/>
                <a:gd name="connsiteY3" fmla="*/ 163040 h 762754"/>
                <a:gd name="connsiteX4" fmla="*/ 9320 w 120874"/>
                <a:gd name="connsiteY4" fmla="*/ 762754 h 762754"/>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105833 h 705547"/>
                <a:gd name="connsiteX4" fmla="*/ 9320 w 120874"/>
                <a:gd name="connsiteY4" fmla="*/ 705547 h 705547"/>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344736 h 705547"/>
                <a:gd name="connsiteX4" fmla="*/ 9320 w 120874"/>
                <a:gd name="connsiteY4" fmla="*/ 705547 h 705547"/>
                <a:gd name="connsiteX0" fmla="*/ 9320 w 129526"/>
                <a:gd name="connsiteY0" fmla="*/ 493436 h 493436"/>
                <a:gd name="connsiteX1" fmla="*/ 120873 w 129526"/>
                <a:gd name="connsiteY1" fmla="*/ 401906 h 493436"/>
                <a:gd name="connsiteX2" fmla="*/ 129526 w 129526"/>
                <a:gd name="connsiteY2" fmla="*/ 0 h 493436"/>
                <a:gd name="connsiteX3" fmla="*/ 0 w 129526"/>
                <a:gd name="connsiteY3" fmla="*/ 132625 h 493436"/>
                <a:gd name="connsiteX4" fmla="*/ 9320 w 129526"/>
                <a:gd name="connsiteY4" fmla="*/ 493436 h 493436"/>
                <a:gd name="connsiteX0" fmla="*/ 9320 w 129526"/>
                <a:gd name="connsiteY0" fmla="*/ 493436 h 493436"/>
                <a:gd name="connsiteX1" fmla="*/ 125200 w 129526"/>
                <a:gd name="connsiteY1" fmla="*/ 397441 h 493436"/>
                <a:gd name="connsiteX2" fmla="*/ 129526 w 129526"/>
                <a:gd name="connsiteY2" fmla="*/ 0 h 493436"/>
                <a:gd name="connsiteX3" fmla="*/ 0 w 129526"/>
                <a:gd name="connsiteY3" fmla="*/ 132625 h 493436"/>
                <a:gd name="connsiteX4" fmla="*/ 9320 w 129526"/>
                <a:gd name="connsiteY4" fmla="*/ 493436 h 493436"/>
                <a:gd name="connsiteX0" fmla="*/ 9320 w 135966"/>
                <a:gd name="connsiteY0" fmla="*/ 445425 h 445425"/>
                <a:gd name="connsiteX1" fmla="*/ 125200 w 135966"/>
                <a:gd name="connsiteY1" fmla="*/ 349430 h 445425"/>
                <a:gd name="connsiteX2" fmla="*/ 135966 w 135966"/>
                <a:gd name="connsiteY2" fmla="*/ 0 h 445425"/>
                <a:gd name="connsiteX3" fmla="*/ 0 w 135966"/>
                <a:gd name="connsiteY3" fmla="*/ 84614 h 445425"/>
                <a:gd name="connsiteX4" fmla="*/ 9320 w 135966"/>
                <a:gd name="connsiteY4" fmla="*/ 445425 h 4454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35966" h="445425">
                  <a:moveTo>
                    <a:pt x="9320" y="445425"/>
                  </a:moveTo>
                  <a:lnTo>
                    <a:pt x="125200" y="349430"/>
                  </a:lnTo>
                  <a:cubicBezTo>
                    <a:pt x="125200" y="306525"/>
                    <a:pt x="135966" y="42905"/>
                    <a:pt x="135966" y="0"/>
                  </a:cubicBezTo>
                  <a:cubicBezTo>
                    <a:pt x="98781" y="35278"/>
                    <a:pt x="37185" y="49336"/>
                    <a:pt x="0" y="84614"/>
                  </a:cubicBezTo>
                  <a:cubicBezTo>
                    <a:pt x="954" y="117031"/>
                    <a:pt x="8366" y="413008"/>
                    <a:pt x="9320" y="445425"/>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3" name="Group 239">
            <a:extLst>
              <a:ext uri="{FF2B5EF4-FFF2-40B4-BE49-F238E27FC236}">
                <a16:creationId xmlns:a16="http://schemas.microsoft.com/office/drawing/2014/main" id="{00000000-0008-0000-0F00-00005D280000}"/>
              </a:ext>
            </a:extLst>
          </xdr:cNvPr>
          <xdr:cNvGrpSpPr>
            <a:grpSpLocks/>
          </xdr:cNvGrpSpPr>
        </xdr:nvGrpSpPr>
        <xdr:grpSpPr bwMode="auto">
          <a:xfrm>
            <a:off x="4581525" y="8162925"/>
            <a:ext cx="1974021" cy="1220287"/>
            <a:chOff x="6543675" y="19316700"/>
            <a:chExt cx="1974021" cy="1220287"/>
          </a:xfrm>
        </xdr:grpSpPr>
        <xdr:sp macro="" textlink="">
          <xdr:nvSpPr>
            <xdr:cNvPr id="241" name="Freeform 240">
              <a:extLst>
                <a:ext uri="{FF2B5EF4-FFF2-40B4-BE49-F238E27FC236}">
                  <a16:creationId xmlns:a16="http://schemas.microsoft.com/office/drawing/2014/main" id="{00000000-0008-0000-0F00-0000F1000000}"/>
                </a:ext>
              </a:extLst>
            </xdr:cNvPr>
            <xdr:cNvSpPr/>
          </xdr:nvSpPr>
          <xdr:spPr>
            <a:xfrm>
              <a:off x="6543675" y="1931670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2" name="Freeform 241">
              <a:extLst>
                <a:ext uri="{FF2B5EF4-FFF2-40B4-BE49-F238E27FC236}">
                  <a16:creationId xmlns:a16="http://schemas.microsoft.com/office/drawing/2014/main" id="{00000000-0008-0000-0F00-0000F2000000}"/>
                </a:ext>
              </a:extLst>
            </xdr:cNvPr>
            <xdr:cNvSpPr/>
          </xdr:nvSpPr>
          <xdr:spPr>
            <a:xfrm>
              <a:off x="6543675" y="1941195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3" name="Freeform 242">
              <a:extLst>
                <a:ext uri="{FF2B5EF4-FFF2-40B4-BE49-F238E27FC236}">
                  <a16:creationId xmlns:a16="http://schemas.microsoft.com/office/drawing/2014/main" id="{00000000-0008-0000-0F00-0000F3000000}"/>
                </a:ext>
              </a:extLst>
            </xdr:cNvPr>
            <xdr:cNvSpPr/>
          </xdr:nvSpPr>
          <xdr:spPr>
            <a:xfrm>
              <a:off x="6753225" y="19431000"/>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4" name="Freeform 243">
              <a:extLst>
                <a:ext uri="{FF2B5EF4-FFF2-40B4-BE49-F238E27FC236}">
                  <a16:creationId xmlns:a16="http://schemas.microsoft.com/office/drawing/2014/main" id="{00000000-0008-0000-0F00-0000F4000000}"/>
                </a:ext>
              </a:extLst>
            </xdr:cNvPr>
            <xdr:cNvSpPr/>
          </xdr:nvSpPr>
          <xdr:spPr>
            <a:xfrm>
              <a:off x="6553200" y="20373975"/>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5" name="Freeform 244">
              <a:extLst>
                <a:ext uri="{FF2B5EF4-FFF2-40B4-BE49-F238E27FC236}">
                  <a16:creationId xmlns:a16="http://schemas.microsoft.com/office/drawing/2014/main" id="{00000000-0008-0000-0F00-0000F5000000}"/>
                </a:ext>
              </a:extLst>
            </xdr:cNvPr>
            <xdr:cNvSpPr/>
          </xdr:nvSpPr>
          <xdr:spPr>
            <a:xfrm>
              <a:off x="8401050" y="19316700"/>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4" name="Group 245">
            <a:extLst>
              <a:ext uri="{FF2B5EF4-FFF2-40B4-BE49-F238E27FC236}">
                <a16:creationId xmlns:a16="http://schemas.microsoft.com/office/drawing/2014/main" id="{00000000-0008-0000-0F00-00005E280000}"/>
              </a:ext>
            </a:extLst>
          </xdr:cNvPr>
          <xdr:cNvGrpSpPr>
            <a:grpSpLocks/>
          </xdr:cNvGrpSpPr>
        </xdr:nvGrpSpPr>
        <xdr:grpSpPr bwMode="auto">
          <a:xfrm>
            <a:off x="4581525" y="8848725"/>
            <a:ext cx="1974021" cy="1220287"/>
            <a:chOff x="6543675" y="19316700"/>
            <a:chExt cx="1974021" cy="1220287"/>
          </a:xfrm>
        </xdr:grpSpPr>
        <xdr:sp macro="" textlink="">
          <xdr:nvSpPr>
            <xdr:cNvPr id="247" name="Freeform 246">
              <a:extLst>
                <a:ext uri="{FF2B5EF4-FFF2-40B4-BE49-F238E27FC236}">
                  <a16:creationId xmlns:a16="http://schemas.microsoft.com/office/drawing/2014/main" id="{00000000-0008-0000-0F00-0000F7000000}"/>
                </a:ext>
              </a:extLst>
            </xdr:cNvPr>
            <xdr:cNvSpPr/>
          </xdr:nvSpPr>
          <xdr:spPr>
            <a:xfrm>
              <a:off x="6543675" y="1931670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8" name="Freeform 247">
              <a:extLst>
                <a:ext uri="{FF2B5EF4-FFF2-40B4-BE49-F238E27FC236}">
                  <a16:creationId xmlns:a16="http://schemas.microsoft.com/office/drawing/2014/main" id="{00000000-0008-0000-0F00-0000F8000000}"/>
                </a:ext>
              </a:extLst>
            </xdr:cNvPr>
            <xdr:cNvSpPr/>
          </xdr:nvSpPr>
          <xdr:spPr>
            <a:xfrm>
              <a:off x="6543675" y="1941195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9" name="Freeform 248">
              <a:extLst>
                <a:ext uri="{FF2B5EF4-FFF2-40B4-BE49-F238E27FC236}">
                  <a16:creationId xmlns:a16="http://schemas.microsoft.com/office/drawing/2014/main" id="{00000000-0008-0000-0F00-0000F9000000}"/>
                </a:ext>
              </a:extLst>
            </xdr:cNvPr>
            <xdr:cNvSpPr/>
          </xdr:nvSpPr>
          <xdr:spPr>
            <a:xfrm>
              <a:off x="6753225" y="19431000"/>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0" name="Freeform 249">
              <a:extLst>
                <a:ext uri="{FF2B5EF4-FFF2-40B4-BE49-F238E27FC236}">
                  <a16:creationId xmlns:a16="http://schemas.microsoft.com/office/drawing/2014/main" id="{00000000-0008-0000-0F00-0000FA000000}"/>
                </a:ext>
              </a:extLst>
            </xdr:cNvPr>
            <xdr:cNvSpPr/>
          </xdr:nvSpPr>
          <xdr:spPr>
            <a:xfrm>
              <a:off x="6553200" y="20373975"/>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1" name="Freeform 250">
              <a:extLst>
                <a:ext uri="{FF2B5EF4-FFF2-40B4-BE49-F238E27FC236}">
                  <a16:creationId xmlns:a16="http://schemas.microsoft.com/office/drawing/2014/main" id="{00000000-0008-0000-0F00-0000FB000000}"/>
                </a:ext>
              </a:extLst>
            </xdr:cNvPr>
            <xdr:cNvSpPr/>
          </xdr:nvSpPr>
          <xdr:spPr>
            <a:xfrm>
              <a:off x="8401050" y="19316700"/>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5" name="Group 251">
            <a:extLst>
              <a:ext uri="{FF2B5EF4-FFF2-40B4-BE49-F238E27FC236}">
                <a16:creationId xmlns:a16="http://schemas.microsoft.com/office/drawing/2014/main" id="{00000000-0008-0000-0F00-00005F280000}"/>
              </a:ext>
            </a:extLst>
          </xdr:cNvPr>
          <xdr:cNvGrpSpPr>
            <a:grpSpLocks/>
          </xdr:cNvGrpSpPr>
        </xdr:nvGrpSpPr>
        <xdr:grpSpPr bwMode="auto">
          <a:xfrm>
            <a:off x="4581525" y="9553575"/>
            <a:ext cx="1974021" cy="1220287"/>
            <a:chOff x="6543675" y="19316700"/>
            <a:chExt cx="1974021" cy="1220287"/>
          </a:xfrm>
        </xdr:grpSpPr>
        <xdr:sp macro="" textlink="">
          <xdr:nvSpPr>
            <xdr:cNvPr id="253" name="Freeform 252">
              <a:extLst>
                <a:ext uri="{FF2B5EF4-FFF2-40B4-BE49-F238E27FC236}">
                  <a16:creationId xmlns:a16="http://schemas.microsoft.com/office/drawing/2014/main" id="{00000000-0008-0000-0F00-0000FD000000}"/>
                </a:ext>
              </a:extLst>
            </xdr:cNvPr>
            <xdr:cNvSpPr/>
          </xdr:nvSpPr>
          <xdr:spPr>
            <a:xfrm>
              <a:off x="6543675" y="1931670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4" name="Freeform 253">
              <a:extLst>
                <a:ext uri="{FF2B5EF4-FFF2-40B4-BE49-F238E27FC236}">
                  <a16:creationId xmlns:a16="http://schemas.microsoft.com/office/drawing/2014/main" id="{00000000-0008-0000-0F00-0000FE000000}"/>
                </a:ext>
              </a:extLst>
            </xdr:cNvPr>
            <xdr:cNvSpPr/>
          </xdr:nvSpPr>
          <xdr:spPr>
            <a:xfrm>
              <a:off x="6543675" y="1941195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5" name="Freeform 254">
              <a:extLst>
                <a:ext uri="{FF2B5EF4-FFF2-40B4-BE49-F238E27FC236}">
                  <a16:creationId xmlns:a16="http://schemas.microsoft.com/office/drawing/2014/main" id="{00000000-0008-0000-0F00-0000FF000000}"/>
                </a:ext>
              </a:extLst>
            </xdr:cNvPr>
            <xdr:cNvSpPr/>
          </xdr:nvSpPr>
          <xdr:spPr>
            <a:xfrm>
              <a:off x="6753225" y="19431000"/>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6" name="Freeform 255">
              <a:extLst>
                <a:ext uri="{FF2B5EF4-FFF2-40B4-BE49-F238E27FC236}">
                  <a16:creationId xmlns:a16="http://schemas.microsoft.com/office/drawing/2014/main" id="{00000000-0008-0000-0F00-000000010000}"/>
                </a:ext>
              </a:extLst>
            </xdr:cNvPr>
            <xdr:cNvSpPr/>
          </xdr:nvSpPr>
          <xdr:spPr>
            <a:xfrm>
              <a:off x="6553200" y="20373975"/>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7" name="Freeform 256">
              <a:extLst>
                <a:ext uri="{FF2B5EF4-FFF2-40B4-BE49-F238E27FC236}">
                  <a16:creationId xmlns:a16="http://schemas.microsoft.com/office/drawing/2014/main" id="{00000000-0008-0000-0F00-000001010000}"/>
                </a:ext>
              </a:extLst>
            </xdr:cNvPr>
            <xdr:cNvSpPr/>
          </xdr:nvSpPr>
          <xdr:spPr>
            <a:xfrm>
              <a:off x="8401050" y="19316700"/>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6" name="Group 257">
            <a:extLst>
              <a:ext uri="{FF2B5EF4-FFF2-40B4-BE49-F238E27FC236}">
                <a16:creationId xmlns:a16="http://schemas.microsoft.com/office/drawing/2014/main" id="{00000000-0008-0000-0F00-000060280000}"/>
              </a:ext>
            </a:extLst>
          </xdr:cNvPr>
          <xdr:cNvGrpSpPr>
            <a:grpSpLocks/>
          </xdr:cNvGrpSpPr>
        </xdr:nvGrpSpPr>
        <xdr:grpSpPr bwMode="auto">
          <a:xfrm>
            <a:off x="4581525" y="10306049"/>
            <a:ext cx="1974021" cy="1220287"/>
            <a:chOff x="6543675" y="19316700"/>
            <a:chExt cx="1974021" cy="1220287"/>
          </a:xfrm>
        </xdr:grpSpPr>
        <xdr:sp macro="" textlink="">
          <xdr:nvSpPr>
            <xdr:cNvPr id="259" name="Freeform 258">
              <a:extLst>
                <a:ext uri="{FF2B5EF4-FFF2-40B4-BE49-F238E27FC236}">
                  <a16:creationId xmlns:a16="http://schemas.microsoft.com/office/drawing/2014/main" id="{00000000-0008-0000-0F00-000003010000}"/>
                </a:ext>
              </a:extLst>
            </xdr:cNvPr>
            <xdr:cNvSpPr/>
          </xdr:nvSpPr>
          <xdr:spPr>
            <a:xfrm>
              <a:off x="6543675" y="19316701"/>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0" name="Freeform 259">
              <a:extLst>
                <a:ext uri="{FF2B5EF4-FFF2-40B4-BE49-F238E27FC236}">
                  <a16:creationId xmlns:a16="http://schemas.microsoft.com/office/drawing/2014/main" id="{00000000-0008-0000-0F00-000004010000}"/>
                </a:ext>
              </a:extLst>
            </xdr:cNvPr>
            <xdr:cNvSpPr/>
          </xdr:nvSpPr>
          <xdr:spPr>
            <a:xfrm>
              <a:off x="6543675" y="19411951"/>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1" name="Freeform 260">
              <a:extLst>
                <a:ext uri="{FF2B5EF4-FFF2-40B4-BE49-F238E27FC236}">
                  <a16:creationId xmlns:a16="http://schemas.microsoft.com/office/drawing/2014/main" id="{00000000-0008-0000-0F00-000005010000}"/>
                </a:ext>
              </a:extLst>
            </xdr:cNvPr>
            <xdr:cNvSpPr/>
          </xdr:nvSpPr>
          <xdr:spPr>
            <a:xfrm>
              <a:off x="6753225" y="19431001"/>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2" name="Freeform 261">
              <a:extLst>
                <a:ext uri="{FF2B5EF4-FFF2-40B4-BE49-F238E27FC236}">
                  <a16:creationId xmlns:a16="http://schemas.microsoft.com/office/drawing/2014/main" id="{00000000-0008-0000-0F00-000006010000}"/>
                </a:ext>
              </a:extLst>
            </xdr:cNvPr>
            <xdr:cNvSpPr/>
          </xdr:nvSpPr>
          <xdr:spPr>
            <a:xfrm>
              <a:off x="6553200" y="20373976"/>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3" name="Freeform 262">
              <a:extLst>
                <a:ext uri="{FF2B5EF4-FFF2-40B4-BE49-F238E27FC236}">
                  <a16:creationId xmlns:a16="http://schemas.microsoft.com/office/drawing/2014/main" id="{00000000-0008-0000-0F00-000007010000}"/>
                </a:ext>
              </a:extLst>
            </xdr:cNvPr>
            <xdr:cNvSpPr/>
          </xdr:nvSpPr>
          <xdr:spPr>
            <a:xfrm>
              <a:off x="8401050" y="19316701"/>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sp macro="" textlink="">
        <xdr:nvSpPr>
          <xdr:cNvPr id="266" name="Freeform 265">
            <a:extLst>
              <a:ext uri="{FF2B5EF4-FFF2-40B4-BE49-F238E27FC236}">
                <a16:creationId xmlns:a16="http://schemas.microsoft.com/office/drawing/2014/main" id="{00000000-0008-0000-0F00-00000A010000}"/>
              </a:ext>
            </a:extLst>
          </xdr:cNvPr>
          <xdr:cNvSpPr/>
        </xdr:nvSpPr>
        <xdr:spPr bwMode="auto">
          <a:xfrm>
            <a:off x="4581525" y="11106425"/>
            <a:ext cx="1971672" cy="112368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7" name="Freeform 266">
            <a:extLst>
              <a:ext uri="{FF2B5EF4-FFF2-40B4-BE49-F238E27FC236}">
                <a16:creationId xmlns:a16="http://schemas.microsoft.com/office/drawing/2014/main" id="{00000000-0008-0000-0F00-00000B010000}"/>
              </a:ext>
            </a:extLst>
          </xdr:cNvPr>
          <xdr:cNvSpPr/>
        </xdr:nvSpPr>
        <xdr:spPr bwMode="auto">
          <a:xfrm>
            <a:off x="4791386" y="11125384"/>
            <a:ext cx="1656880" cy="1038367"/>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8" name="Freeform 267">
            <a:extLst>
              <a:ext uri="{FF2B5EF4-FFF2-40B4-BE49-F238E27FC236}">
                <a16:creationId xmlns:a16="http://schemas.microsoft.com/office/drawing/2014/main" id="{00000000-0008-0000-0F00-00000C010000}"/>
              </a:ext>
            </a:extLst>
          </xdr:cNvPr>
          <xdr:cNvSpPr/>
        </xdr:nvSpPr>
        <xdr:spPr bwMode="auto">
          <a:xfrm>
            <a:off x="4591064" y="12068225"/>
            <a:ext cx="200322" cy="161880"/>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9" name="Freeform 268">
            <a:extLst>
              <a:ext uri="{FF2B5EF4-FFF2-40B4-BE49-F238E27FC236}">
                <a16:creationId xmlns:a16="http://schemas.microsoft.com/office/drawing/2014/main" id="{00000000-0008-0000-0F00-00000D010000}"/>
              </a:ext>
            </a:extLst>
          </xdr:cNvPr>
          <xdr:cNvSpPr/>
        </xdr:nvSpPr>
        <xdr:spPr bwMode="auto">
          <a:xfrm>
            <a:off x="6438727" y="11011633"/>
            <a:ext cx="114470" cy="199797"/>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17" name="Straight Connector 16">
            <a:extLst>
              <a:ext uri="{FF2B5EF4-FFF2-40B4-BE49-F238E27FC236}">
                <a16:creationId xmlns:a16="http://schemas.microsoft.com/office/drawing/2014/main" id="{00000000-0008-0000-0F00-000011000000}"/>
              </a:ext>
            </a:extLst>
          </xdr:cNvPr>
          <xdr:cNvCxnSpPr>
            <a:endCxn id="10240" idx="3"/>
          </xdr:cNvCxnSpPr>
        </xdr:nvCxnSpPr>
        <xdr:spPr>
          <a:xfrm>
            <a:off x="2962275" y="6848475"/>
            <a:ext cx="3605299" cy="401423"/>
          </a:xfrm>
          <a:prstGeom prst="line">
            <a:avLst/>
          </a:prstGeom>
          <a:ln>
            <a:prstDash val="dash"/>
          </a:ln>
        </xdr:spPr>
        <xdr:style>
          <a:lnRef idx="1">
            <a:schemeClr val="dk1"/>
          </a:lnRef>
          <a:fillRef idx="0">
            <a:schemeClr val="dk1"/>
          </a:fillRef>
          <a:effectRef idx="0">
            <a:schemeClr val="dk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F00-000015010000}"/>
              </a:ext>
            </a:extLst>
          </xdr:cNvPr>
          <xdr:cNvCxnSpPr>
            <a:endCxn id="10240" idx="0"/>
          </xdr:cNvCxnSpPr>
        </xdr:nvCxnSpPr>
        <xdr:spPr>
          <a:xfrm>
            <a:off x="962025" y="7953375"/>
            <a:ext cx="3600449" cy="402746"/>
          </a:xfrm>
          <a:prstGeom prst="line">
            <a:avLst/>
          </a:prstGeom>
          <a:ln>
            <a:prstDash val="dash"/>
          </a:ln>
        </xdr:spPr>
        <xdr:style>
          <a:lnRef idx="1">
            <a:schemeClr val="dk1"/>
          </a:lnRef>
          <a:fillRef idx="0">
            <a:schemeClr val="dk1"/>
          </a:fillRef>
          <a:effectRef idx="0">
            <a:schemeClr val="dk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F00-000017010000}"/>
              </a:ext>
            </a:extLst>
          </xdr:cNvPr>
          <xdr:cNvCxnSpPr>
            <a:endCxn id="10240" idx="7"/>
          </xdr:cNvCxnSpPr>
        </xdr:nvCxnSpPr>
        <xdr:spPr>
          <a:xfrm>
            <a:off x="952500" y="12087225"/>
            <a:ext cx="3621105" cy="419734"/>
          </a:xfrm>
          <a:prstGeom prst="line">
            <a:avLst/>
          </a:prstGeom>
          <a:ln>
            <a:prstDash val="dash"/>
          </a:ln>
        </xdr:spPr>
        <xdr:style>
          <a:lnRef idx="1">
            <a:schemeClr val="dk1"/>
          </a:lnRef>
          <a:fillRef idx="0">
            <a:schemeClr val="dk1"/>
          </a:fillRef>
          <a:effectRef idx="0">
            <a:schemeClr val="dk1"/>
          </a:effectRef>
          <a:fontRef idx="minor">
            <a:schemeClr val="tx1"/>
          </a:fontRef>
        </xdr:style>
      </xdr:cxnSp>
      <xdr:cxnSp macro="">
        <xdr:nvCxnSpPr>
          <xdr:cNvPr id="8" name="Straight Connector 7">
            <a:extLst>
              <a:ext uri="{FF2B5EF4-FFF2-40B4-BE49-F238E27FC236}">
                <a16:creationId xmlns:a16="http://schemas.microsoft.com/office/drawing/2014/main" id="{00000000-0008-0000-0F00-000008000000}"/>
              </a:ext>
            </a:extLst>
          </xdr:cNvPr>
          <xdr:cNvCxnSpPr>
            <a:endCxn id="263" idx="3"/>
          </xdr:cNvCxnSpPr>
        </xdr:nvCxnSpPr>
        <xdr:spPr>
          <a:xfrm flipH="1">
            <a:off x="6444009" y="10172700"/>
            <a:ext cx="423516" cy="24382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F00-0000DD000000}"/>
              </a:ext>
            </a:extLst>
          </xdr:cNvPr>
          <xdr:cNvCxnSpPr/>
        </xdr:nvCxnSpPr>
        <xdr:spPr>
          <a:xfrm flipH="1">
            <a:off x="6444009" y="10267950"/>
            <a:ext cx="423516" cy="24382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F00-00000F000000}"/>
              </a:ext>
            </a:extLst>
          </xdr:cNvPr>
          <xdr:cNvCxnSpPr/>
        </xdr:nvCxnSpPr>
        <xdr:spPr>
          <a:xfrm flipH="1">
            <a:off x="6762750" y="1002030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23" name="Straight Arrow Connector 222">
            <a:extLst>
              <a:ext uri="{FF2B5EF4-FFF2-40B4-BE49-F238E27FC236}">
                <a16:creationId xmlns:a16="http://schemas.microsoft.com/office/drawing/2014/main" id="{00000000-0008-0000-0F00-0000DF000000}"/>
              </a:ext>
            </a:extLst>
          </xdr:cNvPr>
          <xdr:cNvCxnSpPr/>
        </xdr:nvCxnSpPr>
        <xdr:spPr>
          <a:xfrm flipH="1">
            <a:off x="6762750" y="1072515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24" name="Straight Arrow Connector 223">
            <a:extLst>
              <a:ext uri="{FF2B5EF4-FFF2-40B4-BE49-F238E27FC236}">
                <a16:creationId xmlns:a16="http://schemas.microsoft.com/office/drawing/2014/main" id="{00000000-0008-0000-0F00-0000E0000000}"/>
              </a:ext>
            </a:extLst>
          </xdr:cNvPr>
          <xdr:cNvCxnSpPr/>
        </xdr:nvCxnSpPr>
        <xdr:spPr>
          <a:xfrm flipH="1" flipV="1">
            <a:off x="6762750" y="10315575"/>
            <a:ext cx="2" cy="2381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 textlink="">
        <xdr:nvSpPr>
          <xdr:cNvPr id="19" name="TextBox 18">
            <a:extLst>
              <a:ext uri="{FF2B5EF4-FFF2-40B4-BE49-F238E27FC236}">
                <a16:creationId xmlns:a16="http://schemas.microsoft.com/office/drawing/2014/main" id="{00000000-0008-0000-0F00-000013000000}"/>
              </a:ext>
            </a:extLst>
          </xdr:cNvPr>
          <xdr:cNvSpPr txBox="1"/>
        </xdr:nvSpPr>
        <xdr:spPr>
          <a:xfrm>
            <a:off x="6629400" y="9734550"/>
            <a:ext cx="676275"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2</a:t>
            </a:r>
            <a:r>
              <a:rPr lang="en-US" sz="1600" b="1" baseline="0"/>
              <a:t> mm</a:t>
            </a:r>
            <a:endParaRPr lang="en-US" sz="1600" b="1"/>
          </a:p>
        </xdr:txBody>
      </xdr:sp>
      <xdr:sp macro="" textlink="">
        <xdr:nvSpPr>
          <xdr:cNvPr id="225" name="TextBox 224">
            <a:extLst>
              <a:ext uri="{FF2B5EF4-FFF2-40B4-BE49-F238E27FC236}">
                <a16:creationId xmlns:a16="http://schemas.microsoft.com/office/drawing/2014/main" id="{00000000-0008-0000-0F00-0000E1000000}"/>
              </a:ext>
            </a:extLst>
          </xdr:cNvPr>
          <xdr:cNvSpPr txBox="1"/>
        </xdr:nvSpPr>
        <xdr:spPr>
          <a:xfrm>
            <a:off x="6610349" y="10487025"/>
            <a:ext cx="1047751"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̴10-20</a:t>
            </a:r>
            <a:r>
              <a:rPr lang="en-US" sz="1600" b="1" baseline="0"/>
              <a:t> mm</a:t>
            </a:r>
            <a:endParaRPr lang="en-US" sz="1600" b="1"/>
          </a:p>
        </xdr:txBody>
      </xdr:sp>
      <xdr:sp macro="" textlink="">
        <xdr:nvSpPr>
          <xdr:cNvPr id="218" name="Freeform 217">
            <a:extLst>
              <a:ext uri="{FF2B5EF4-FFF2-40B4-BE49-F238E27FC236}">
                <a16:creationId xmlns:a16="http://schemas.microsoft.com/office/drawing/2014/main" id="{00000000-0008-0000-0F00-0000DA000000}"/>
              </a:ext>
            </a:extLst>
          </xdr:cNvPr>
          <xdr:cNvSpPr/>
        </xdr:nvSpPr>
        <xdr:spPr bwMode="auto">
          <a:xfrm>
            <a:off x="4797914" y="11130205"/>
            <a:ext cx="1653950" cy="132571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8"/>
              <a:gd name="connsiteY0" fmla="*/ 1049752 h 1049752"/>
              <a:gd name="connsiteX1" fmla="*/ 0 w 1653288"/>
              <a:gd name="connsiteY1" fmla="*/ 359303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7"/>
              <a:gd name="connsiteY0" fmla="*/ 1608336 h 1608336"/>
              <a:gd name="connsiteX1" fmla="*/ 0 w 1653287"/>
              <a:gd name="connsiteY1" fmla="*/ 917887 h 1608336"/>
              <a:gd name="connsiteX2" fmla="*/ 1643786 w 1653287"/>
              <a:gd name="connsiteY2" fmla="*/ 0 h 1608336"/>
              <a:gd name="connsiteX3" fmla="*/ 1653287 w 1653287"/>
              <a:gd name="connsiteY3" fmla="*/ 644395 h 1608336"/>
              <a:gd name="connsiteX4" fmla="*/ 0 w 1653287"/>
              <a:gd name="connsiteY4" fmla="*/ 1608336 h 1608336"/>
              <a:gd name="connsiteX0" fmla="*/ 0 w 1653287"/>
              <a:gd name="connsiteY0" fmla="*/ 1637228 h 1637228"/>
              <a:gd name="connsiteX1" fmla="*/ 0 w 1653287"/>
              <a:gd name="connsiteY1" fmla="*/ 946779 h 1637228"/>
              <a:gd name="connsiteX2" fmla="*/ 1643786 w 1653287"/>
              <a:gd name="connsiteY2" fmla="*/ 0 h 1637228"/>
              <a:gd name="connsiteX3" fmla="*/ 1653287 w 1653287"/>
              <a:gd name="connsiteY3" fmla="*/ 673287 h 1637228"/>
              <a:gd name="connsiteX4" fmla="*/ 0 w 1653287"/>
              <a:gd name="connsiteY4" fmla="*/ 1637228 h 1637228"/>
              <a:gd name="connsiteX0" fmla="*/ 0 w 1653287"/>
              <a:gd name="connsiteY0" fmla="*/ 1656490 h 1656490"/>
              <a:gd name="connsiteX1" fmla="*/ 0 w 1653287"/>
              <a:gd name="connsiteY1" fmla="*/ 966041 h 1656490"/>
              <a:gd name="connsiteX2" fmla="*/ 1643786 w 1653287"/>
              <a:gd name="connsiteY2" fmla="*/ 0 h 1656490"/>
              <a:gd name="connsiteX3" fmla="*/ 1653287 w 1653287"/>
              <a:gd name="connsiteY3" fmla="*/ 692549 h 1656490"/>
              <a:gd name="connsiteX4" fmla="*/ 0 w 1653287"/>
              <a:gd name="connsiteY4" fmla="*/ 1656490 h 1656490"/>
              <a:gd name="connsiteX0" fmla="*/ 0 w 1653287"/>
              <a:gd name="connsiteY0" fmla="*/ 1651530 h 1651530"/>
              <a:gd name="connsiteX1" fmla="*/ 0 w 1653287"/>
              <a:gd name="connsiteY1" fmla="*/ 961081 h 1651530"/>
              <a:gd name="connsiteX2" fmla="*/ 1638968 w 1653287"/>
              <a:gd name="connsiteY2" fmla="*/ 0 h 1651530"/>
              <a:gd name="connsiteX3" fmla="*/ 1653287 w 1653287"/>
              <a:gd name="connsiteY3" fmla="*/ 687589 h 1651530"/>
              <a:gd name="connsiteX4" fmla="*/ 0 w 1653287"/>
              <a:gd name="connsiteY4" fmla="*/ 1651530 h 1651530"/>
              <a:gd name="connsiteX0" fmla="*/ 0 w 1653287"/>
              <a:gd name="connsiteY0" fmla="*/ 1646570 h 1646570"/>
              <a:gd name="connsiteX1" fmla="*/ 0 w 1653287"/>
              <a:gd name="connsiteY1" fmla="*/ 956121 h 1646570"/>
              <a:gd name="connsiteX2" fmla="*/ 1636560 w 1653287"/>
              <a:gd name="connsiteY2" fmla="*/ 0 h 1646570"/>
              <a:gd name="connsiteX3" fmla="*/ 1653287 w 1653287"/>
              <a:gd name="connsiteY3" fmla="*/ 682629 h 1646570"/>
              <a:gd name="connsiteX4" fmla="*/ 0 w 1653287"/>
              <a:gd name="connsiteY4" fmla="*/ 1646570 h 1646570"/>
              <a:gd name="connsiteX0" fmla="*/ 0 w 1653287"/>
              <a:gd name="connsiteY0" fmla="*/ 1654012 h 1654012"/>
              <a:gd name="connsiteX1" fmla="*/ 0 w 1653287"/>
              <a:gd name="connsiteY1" fmla="*/ 963563 h 1654012"/>
              <a:gd name="connsiteX2" fmla="*/ 1636560 w 1653287"/>
              <a:gd name="connsiteY2" fmla="*/ 0 h 1654012"/>
              <a:gd name="connsiteX3" fmla="*/ 1653287 w 1653287"/>
              <a:gd name="connsiteY3" fmla="*/ 690071 h 1654012"/>
              <a:gd name="connsiteX4" fmla="*/ 0 w 1653287"/>
              <a:gd name="connsiteY4" fmla="*/ 1654012 h 1654012"/>
              <a:gd name="connsiteX0" fmla="*/ 0 w 1653287"/>
              <a:gd name="connsiteY0" fmla="*/ 1654012 h 1654012"/>
              <a:gd name="connsiteX1" fmla="*/ 0 w 1653287"/>
              <a:gd name="connsiteY1" fmla="*/ 963563 h 1654012"/>
              <a:gd name="connsiteX2" fmla="*/ 1636560 w 1653287"/>
              <a:gd name="connsiteY2" fmla="*/ 0 h 1654012"/>
              <a:gd name="connsiteX3" fmla="*/ 1653287 w 1653287"/>
              <a:gd name="connsiteY3" fmla="*/ 677668 h 1654012"/>
              <a:gd name="connsiteX4" fmla="*/ 0 w 1653287"/>
              <a:gd name="connsiteY4" fmla="*/ 1654012 h 1654012"/>
              <a:gd name="connsiteX0" fmla="*/ 7226 w 1653287"/>
              <a:gd name="connsiteY0" fmla="*/ 1686259 h 1686259"/>
              <a:gd name="connsiteX1" fmla="*/ 0 w 1653287"/>
              <a:gd name="connsiteY1" fmla="*/ 963563 h 1686259"/>
              <a:gd name="connsiteX2" fmla="*/ 1636560 w 1653287"/>
              <a:gd name="connsiteY2" fmla="*/ 0 h 1686259"/>
              <a:gd name="connsiteX3" fmla="*/ 1653287 w 1653287"/>
              <a:gd name="connsiteY3" fmla="*/ 677668 h 1686259"/>
              <a:gd name="connsiteX4" fmla="*/ 7226 w 1653287"/>
              <a:gd name="connsiteY4" fmla="*/ 1686259 h 1686259"/>
              <a:gd name="connsiteX0" fmla="*/ 696 w 1646757"/>
              <a:gd name="connsiteY0" fmla="*/ 1686259 h 1686259"/>
              <a:gd name="connsiteX1" fmla="*/ 696 w 1646757"/>
              <a:gd name="connsiteY1" fmla="*/ 958602 h 1686259"/>
              <a:gd name="connsiteX2" fmla="*/ 1630030 w 1646757"/>
              <a:gd name="connsiteY2" fmla="*/ 0 h 1686259"/>
              <a:gd name="connsiteX3" fmla="*/ 1646757 w 1646757"/>
              <a:gd name="connsiteY3" fmla="*/ 677668 h 1686259"/>
              <a:gd name="connsiteX4" fmla="*/ 696 w 1646757"/>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77902 h 1677902"/>
              <a:gd name="connsiteX1" fmla="*/ 2891 w 1646561"/>
              <a:gd name="connsiteY1" fmla="*/ 1086736 h 1677902"/>
              <a:gd name="connsiteX2" fmla="*/ 1625054 w 1646561"/>
              <a:gd name="connsiteY2" fmla="*/ 0 h 1677902"/>
              <a:gd name="connsiteX3" fmla="*/ 1646561 w 1646561"/>
              <a:gd name="connsiteY3" fmla="*/ 669311 h 1677902"/>
              <a:gd name="connsiteX4" fmla="*/ 500 w 1646561"/>
              <a:gd name="connsiteY4" fmla="*/ 1677902 h 1677902"/>
              <a:gd name="connsiteX0" fmla="*/ 500 w 1646561"/>
              <a:gd name="connsiteY0" fmla="*/ 1677902 h 1677902"/>
              <a:gd name="connsiteX1" fmla="*/ 2891 w 1646561"/>
              <a:gd name="connsiteY1" fmla="*/ 1086736 h 1677902"/>
              <a:gd name="connsiteX2" fmla="*/ 1625054 w 1646561"/>
              <a:gd name="connsiteY2" fmla="*/ 0 h 1677902"/>
              <a:gd name="connsiteX3" fmla="*/ 1646561 w 1646561"/>
              <a:gd name="connsiteY3" fmla="*/ 669311 h 1677902"/>
              <a:gd name="connsiteX4" fmla="*/ 500 w 1646561"/>
              <a:gd name="connsiteY4" fmla="*/ 1677902 h 1677902"/>
              <a:gd name="connsiteX0" fmla="*/ 500 w 1637000"/>
              <a:gd name="connsiteY0" fmla="*/ 1677902 h 1677902"/>
              <a:gd name="connsiteX1" fmla="*/ 2891 w 1637000"/>
              <a:gd name="connsiteY1" fmla="*/ 1086736 h 1677902"/>
              <a:gd name="connsiteX2" fmla="*/ 1625054 w 1637000"/>
              <a:gd name="connsiteY2" fmla="*/ 0 h 1677902"/>
              <a:gd name="connsiteX3" fmla="*/ 1637000 w 1637000"/>
              <a:gd name="connsiteY3" fmla="*/ 569032 h 1677902"/>
              <a:gd name="connsiteX4" fmla="*/ 500 w 1637000"/>
              <a:gd name="connsiteY4" fmla="*/ 1677902 h 1677902"/>
              <a:gd name="connsiteX0" fmla="*/ 2389 w 1638889"/>
              <a:gd name="connsiteY0" fmla="*/ 1677902 h 1677902"/>
              <a:gd name="connsiteX1" fmla="*/ 0 w 1638889"/>
              <a:gd name="connsiteY1" fmla="*/ 1154733 h 1677902"/>
              <a:gd name="connsiteX2" fmla="*/ 1626943 w 1638889"/>
              <a:gd name="connsiteY2" fmla="*/ 0 h 1677902"/>
              <a:gd name="connsiteX3" fmla="*/ 1638889 w 1638889"/>
              <a:gd name="connsiteY3" fmla="*/ 569032 h 1677902"/>
              <a:gd name="connsiteX4" fmla="*/ 2389 w 1638889"/>
              <a:gd name="connsiteY4" fmla="*/ 1677902 h 1677902"/>
              <a:gd name="connsiteX0" fmla="*/ 2389 w 1638889"/>
              <a:gd name="connsiteY0" fmla="*/ 1677902 h 1677902"/>
              <a:gd name="connsiteX1" fmla="*/ 0 w 1638889"/>
              <a:gd name="connsiteY1" fmla="*/ 1154733 h 1677902"/>
              <a:gd name="connsiteX2" fmla="*/ 1626943 w 1638889"/>
              <a:gd name="connsiteY2" fmla="*/ 0 h 1677902"/>
              <a:gd name="connsiteX3" fmla="*/ 1638889 w 1638889"/>
              <a:gd name="connsiteY3" fmla="*/ 569032 h 1677902"/>
              <a:gd name="connsiteX4" fmla="*/ 2389 w 1638889"/>
              <a:gd name="connsiteY4" fmla="*/ 1677902 h 1677902"/>
              <a:gd name="connsiteX0" fmla="*/ 2389 w 1638889"/>
              <a:gd name="connsiteY0" fmla="*/ 1671989 h 1671989"/>
              <a:gd name="connsiteX1" fmla="*/ 0 w 1638889"/>
              <a:gd name="connsiteY1" fmla="*/ 1148820 h 1671989"/>
              <a:gd name="connsiteX2" fmla="*/ 1626944 w 1638889"/>
              <a:gd name="connsiteY2" fmla="*/ 0 h 1671989"/>
              <a:gd name="connsiteX3" fmla="*/ 1638889 w 1638889"/>
              <a:gd name="connsiteY3" fmla="*/ 563119 h 1671989"/>
              <a:gd name="connsiteX4" fmla="*/ 2389 w 1638889"/>
              <a:gd name="connsiteY4" fmla="*/ 1671989 h 1671989"/>
              <a:gd name="connsiteX0" fmla="*/ 2389 w 1638889"/>
              <a:gd name="connsiteY0" fmla="*/ 1671989 h 1671989"/>
              <a:gd name="connsiteX1" fmla="*/ 0 w 1638889"/>
              <a:gd name="connsiteY1" fmla="*/ 1148820 h 1671989"/>
              <a:gd name="connsiteX2" fmla="*/ 1626944 w 1638889"/>
              <a:gd name="connsiteY2" fmla="*/ 0 h 1671989"/>
              <a:gd name="connsiteX3" fmla="*/ 1638889 w 1638889"/>
              <a:gd name="connsiteY3" fmla="*/ 563119 h 1671989"/>
              <a:gd name="connsiteX4" fmla="*/ 2389 w 1638889"/>
              <a:gd name="connsiteY4" fmla="*/ 1671989 h 1671989"/>
              <a:gd name="connsiteX0" fmla="*/ 2389 w 1634109"/>
              <a:gd name="connsiteY0" fmla="*/ 1671989 h 1671989"/>
              <a:gd name="connsiteX1" fmla="*/ 0 w 1634109"/>
              <a:gd name="connsiteY1" fmla="*/ 1148820 h 1671989"/>
              <a:gd name="connsiteX2" fmla="*/ 1626944 w 1634109"/>
              <a:gd name="connsiteY2" fmla="*/ 0 h 1671989"/>
              <a:gd name="connsiteX3" fmla="*/ 1634109 w 1634109"/>
              <a:gd name="connsiteY3" fmla="*/ 480337 h 1671989"/>
              <a:gd name="connsiteX4" fmla="*/ 2389 w 1634109"/>
              <a:gd name="connsiteY4" fmla="*/ 1671989 h 1671989"/>
              <a:gd name="connsiteX0" fmla="*/ 4779 w 1634109"/>
              <a:gd name="connsiteY0" fmla="*/ 1621729 h 1621729"/>
              <a:gd name="connsiteX1" fmla="*/ 0 w 1634109"/>
              <a:gd name="connsiteY1" fmla="*/ 1148820 h 1621729"/>
              <a:gd name="connsiteX2" fmla="*/ 1626944 w 1634109"/>
              <a:gd name="connsiteY2" fmla="*/ 0 h 1621729"/>
              <a:gd name="connsiteX3" fmla="*/ 1634109 w 1634109"/>
              <a:gd name="connsiteY3" fmla="*/ 480337 h 1621729"/>
              <a:gd name="connsiteX4" fmla="*/ 4779 w 1634109"/>
              <a:gd name="connsiteY4" fmla="*/ 1621729 h 162172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4109" h="1621729">
                <a:moveTo>
                  <a:pt x="4779" y="1621729"/>
                </a:moveTo>
                <a:cubicBezTo>
                  <a:pt x="2370" y="1380830"/>
                  <a:pt x="2409" y="1389719"/>
                  <a:pt x="0" y="1148820"/>
                </a:cubicBezTo>
                <a:cubicBezTo>
                  <a:pt x="543111" y="769423"/>
                  <a:pt x="1088614" y="364445"/>
                  <a:pt x="1626944" y="0"/>
                </a:cubicBezTo>
                <a:cubicBezTo>
                  <a:pt x="1626944" y="30510"/>
                  <a:pt x="1634109" y="449827"/>
                  <a:pt x="1634109" y="480337"/>
                </a:cubicBezTo>
                <a:lnTo>
                  <a:pt x="4779" y="1621729"/>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19" name="Freeform 218">
            <a:extLst>
              <a:ext uri="{FF2B5EF4-FFF2-40B4-BE49-F238E27FC236}">
                <a16:creationId xmlns:a16="http://schemas.microsoft.com/office/drawing/2014/main" id="{00000000-0008-0000-0F00-0000DB000000}"/>
              </a:ext>
            </a:extLst>
          </xdr:cNvPr>
          <xdr:cNvSpPr/>
        </xdr:nvSpPr>
        <xdr:spPr bwMode="auto">
          <a:xfrm>
            <a:off x="4578963" y="12065244"/>
            <a:ext cx="224097" cy="429941"/>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682902 h 682902"/>
              <a:gd name="connsiteX1" fmla="*/ 200225 w 200225"/>
              <a:gd name="connsiteY1" fmla="*/ 617114 h 682902"/>
              <a:gd name="connsiteX2" fmla="*/ 194505 w 200225"/>
              <a:gd name="connsiteY2" fmla="*/ 519862 h 682902"/>
              <a:gd name="connsiteX3" fmla="*/ 0 w 200225"/>
              <a:gd name="connsiteY3" fmla="*/ 624 h 682902"/>
              <a:gd name="connsiteX4" fmla="*/ 2861 w 200225"/>
              <a:gd name="connsiteY4" fmla="*/ 682902 h 682902"/>
              <a:gd name="connsiteX0" fmla="*/ 2861 w 200225"/>
              <a:gd name="connsiteY0" fmla="*/ 654164 h 654164"/>
              <a:gd name="connsiteX1" fmla="*/ 200225 w 200225"/>
              <a:gd name="connsiteY1" fmla="*/ 588376 h 654164"/>
              <a:gd name="connsiteX2" fmla="*/ 194505 w 200225"/>
              <a:gd name="connsiteY2" fmla="*/ 491124 h 654164"/>
              <a:gd name="connsiteX3" fmla="*/ 0 w 200225"/>
              <a:gd name="connsiteY3" fmla="*/ 658 h 654164"/>
              <a:gd name="connsiteX4" fmla="*/ 2861 w 200225"/>
              <a:gd name="connsiteY4" fmla="*/ 654164 h 654164"/>
              <a:gd name="connsiteX0" fmla="*/ 2861 w 200225"/>
              <a:gd name="connsiteY0" fmla="*/ 719293 h 719293"/>
              <a:gd name="connsiteX1" fmla="*/ 200225 w 200225"/>
              <a:gd name="connsiteY1" fmla="*/ 653505 h 719293"/>
              <a:gd name="connsiteX2" fmla="*/ 184971 w 200225"/>
              <a:gd name="connsiteY2" fmla="*/ 0 h 719293"/>
              <a:gd name="connsiteX3" fmla="*/ 0 w 200225"/>
              <a:gd name="connsiteY3" fmla="*/ 65787 h 719293"/>
              <a:gd name="connsiteX4" fmla="*/ 2861 w 200225"/>
              <a:gd name="connsiteY4" fmla="*/ 719293 h 719293"/>
              <a:gd name="connsiteX0" fmla="*/ 2861 w 184971"/>
              <a:gd name="connsiteY0" fmla="*/ 719293 h 719293"/>
              <a:gd name="connsiteX1" fmla="*/ 181338 w 184971"/>
              <a:gd name="connsiteY1" fmla="*/ 690392 h 719293"/>
              <a:gd name="connsiteX2" fmla="*/ 184971 w 184971"/>
              <a:gd name="connsiteY2" fmla="*/ 0 h 719293"/>
              <a:gd name="connsiteX3" fmla="*/ 0 w 184971"/>
              <a:gd name="connsiteY3" fmla="*/ 65787 h 719293"/>
              <a:gd name="connsiteX4" fmla="*/ 2861 w 184971"/>
              <a:gd name="connsiteY4" fmla="*/ 719293 h 719293"/>
              <a:gd name="connsiteX0" fmla="*/ 2861 w 190782"/>
              <a:gd name="connsiteY0" fmla="*/ 719293 h 719293"/>
              <a:gd name="connsiteX1" fmla="*/ 190782 w 190782"/>
              <a:gd name="connsiteY1" fmla="*/ 690393 h 719293"/>
              <a:gd name="connsiteX2" fmla="*/ 184971 w 190782"/>
              <a:gd name="connsiteY2" fmla="*/ 0 h 719293"/>
              <a:gd name="connsiteX3" fmla="*/ 0 w 190782"/>
              <a:gd name="connsiteY3" fmla="*/ 65787 h 719293"/>
              <a:gd name="connsiteX4" fmla="*/ 2861 w 190782"/>
              <a:gd name="connsiteY4" fmla="*/ 719293 h 719293"/>
              <a:gd name="connsiteX0" fmla="*/ 2861 w 194415"/>
              <a:gd name="connsiteY0" fmla="*/ 700850 h 700850"/>
              <a:gd name="connsiteX1" fmla="*/ 190782 w 194415"/>
              <a:gd name="connsiteY1" fmla="*/ 671950 h 700850"/>
              <a:gd name="connsiteX2" fmla="*/ 194415 w 194415"/>
              <a:gd name="connsiteY2" fmla="*/ 0 h 700850"/>
              <a:gd name="connsiteX3" fmla="*/ 0 w 194415"/>
              <a:gd name="connsiteY3" fmla="*/ 47344 h 700850"/>
              <a:gd name="connsiteX4" fmla="*/ 2861 w 194415"/>
              <a:gd name="connsiteY4" fmla="*/ 700850 h 700850"/>
              <a:gd name="connsiteX0" fmla="*/ 2861 w 206522"/>
              <a:gd name="connsiteY0" fmla="*/ 722239 h 722239"/>
              <a:gd name="connsiteX1" fmla="*/ 190782 w 206522"/>
              <a:gd name="connsiteY1" fmla="*/ 693339 h 722239"/>
              <a:gd name="connsiteX2" fmla="*/ 206522 w 206522"/>
              <a:gd name="connsiteY2" fmla="*/ 0 h 722239"/>
              <a:gd name="connsiteX3" fmla="*/ 0 w 206522"/>
              <a:gd name="connsiteY3" fmla="*/ 68733 h 722239"/>
              <a:gd name="connsiteX4" fmla="*/ 2861 w 206522"/>
              <a:gd name="connsiteY4" fmla="*/ 722239 h 722239"/>
              <a:gd name="connsiteX0" fmla="*/ 2861 w 206522"/>
              <a:gd name="connsiteY0" fmla="*/ 722239 h 722239"/>
              <a:gd name="connsiteX1" fmla="*/ 205310 w 206522"/>
              <a:gd name="connsiteY1" fmla="*/ 690962 h 722239"/>
              <a:gd name="connsiteX2" fmla="*/ 206522 w 206522"/>
              <a:gd name="connsiteY2" fmla="*/ 0 h 722239"/>
              <a:gd name="connsiteX3" fmla="*/ 0 w 206522"/>
              <a:gd name="connsiteY3" fmla="*/ 68733 h 722239"/>
              <a:gd name="connsiteX4" fmla="*/ 2861 w 206522"/>
              <a:gd name="connsiteY4" fmla="*/ 722239 h 722239"/>
              <a:gd name="connsiteX0" fmla="*/ 2861 w 206522"/>
              <a:gd name="connsiteY0" fmla="*/ 734122 h 734122"/>
              <a:gd name="connsiteX1" fmla="*/ 205310 w 206522"/>
              <a:gd name="connsiteY1" fmla="*/ 690962 h 734122"/>
              <a:gd name="connsiteX2" fmla="*/ 206522 w 206522"/>
              <a:gd name="connsiteY2" fmla="*/ 0 h 734122"/>
              <a:gd name="connsiteX3" fmla="*/ 0 w 206522"/>
              <a:gd name="connsiteY3" fmla="*/ 68733 h 734122"/>
              <a:gd name="connsiteX4" fmla="*/ 2861 w 206522"/>
              <a:gd name="connsiteY4" fmla="*/ 734122 h 734122"/>
              <a:gd name="connsiteX0" fmla="*/ 74 w 213178"/>
              <a:gd name="connsiteY0" fmla="*/ 512750 h 690962"/>
              <a:gd name="connsiteX1" fmla="*/ 211966 w 213178"/>
              <a:gd name="connsiteY1" fmla="*/ 690962 h 690962"/>
              <a:gd name="connsiteX2" fmla="*/ 213178 w 213178"/>
              <a:gd name="connsiteY2" fmla="*/ 0 h 690962"/>
              <a:gd name="connsiteX3" fmla="*/ 6656 w 213178"/>
              <a:gd name="connsiteY3" fmla="*/ 68733 h 690962"/>
              <a:gd name="connsiteX4" fmla="*/ 74 w 213178"/>
              <a:gd name="connsiteY4" fmla="*/ 512750 h 690962"/>
              <a:gd name="connsiteX0" fmla="*/ 74 w 213178"/>
              <a:gd name="connsiteY0" fmla="*/ 540422 h 690962"/>
              <a:gd name="connsiteX1" fmla="*/ 211966 w 213178"/>
              <a:gd name="connsiteY1" fmla="*/ 690962 h 690962"/>
              <a:gd name="connsiteX2" fmla="*/ 213178 w 213178"/>
              <a:gd name="connsiteY2" fmla="*/ 0 h 690962"/>
              <a:gd name="connsiteX3" fmla="*/ 6656 w 213178"/>
              <a:gd name="connsiteY3" fmla="*/ 68733 h 690962"/>
              <a:gd name="connsiteX4" fmla="*/ 74 w 213178"/>
              <a:gd name="connsiteY4" fmla="*/ 540422 h 690962"/>
              <a:gd name="connsiteX0" fmla="*/ 74 w 213178"/>
              <a:gd name="connsiteY0" fmla="*/ 540422 h 540422"/>
              <a:gd name="connsiteX1" fmla="*/ 202523 w 213178"/>
              <a:gd name="connsiteY1" fmla="*/ 515710 h 540422"/>
              <a:gd name="connsiteX2" fmla="*/ 213178 w 213178"/>
              <a:gd name="connsiteY2" fmla="*/ 0 h 540422"/>
              <a:gd name="connsiteX3" fmla="*/ 6656 w 213178"/>
              <a:gd name="connsiteY3" fmla="*/ 68733 h 540422"/>
              <a:gd name="connsiteX4" fmla="*/ 74 w 213178"/>
              <a:gd name="connsiteY4" fmla="*/ 540422 h 540422"/>
              <a:gd name="connsiteX0" fmla="*/ 74 w 213178"/>
              <a:gd name="connsiteY0" fmla="*/ 540422 h 540422"/>
              <a:gd name="connsiteX1" fmla="*/ 202523 w 213178"/>
              <a:gd name="connsiteY1" fmla="*/ 488038 h 540422"/>
              <a:gd name="connsiteX2" fmla="*/ 213178 w 213178"/>
              <a:gd name="connsiteY2" fmla="*/ 0 h 540422"/>
              <a:gd name="connsiteX3" fmla="*/ 6656 w 213178"/>
              <a:gd name="connsiteY3" fmla="*/ 68733 h 540422"/>
              <a:gd name="connsiteX4" fmla="*/ 74 w 213178"/>
              <a:gd name="connsiteY4" fmla="*/ 540422 h 540422"/>
              <a:gd name="connsiteX0" fmla="*/ 74 w 213178"/>
              <a:gd name="connsiteY0" fmla="*/ 540422 h 540422"/>
              <a:gd name="connsiteX1" fmla="*/ 209606 w 213178"/>
              <a:gd name="connsiteY1" fmla="*/ 485733 h 540422"/>
              <a:gd name="connsiteX2" fmla="*/ 213178 w 213178"/>
              <a:gd name="connsiteY2" fmla="*/ 0 h 540422"/>
              <a:gd name="connsiteX3" fmla="*/ 6656 w 213178"/>
              <a:gd name="connsiteY3" fmla="*/ 68733 h 540422"/>
              <a:gd name="connsiteX4" fmla="*/ 74 w 213178"/>
              <a:gd name="connsiteY4" fmla="*/ 540422 h 540422"/>
              <a:gd name="connsiteX0" fmla="*/ 74 w 216847"/>
              <a:gd name="connsiteY0" fmla="*/ 540422 h 540422"/>
              <a:gd name="connsiteX1" fmla="*/ 216688 w 216847"/>
              <a:gd name="connsiteY1" fmla="*/ 485733 h 540422"/>
              <a:gd name="connsiteX2" fmla="*/ 213178 w 216847"/>
              <a:gd name="connsiteY2" fmla="*/ 0 h 540422"/>
              <a:gd name="connsiteX3" fmla="*/ 6656 w 216847"/>
              <a:gd name="connsiteY3" fmla="*/ 68733 h 540422"/>
              <a:gd name="connsiteX4" fmla="*/ 74 w 216847"/>
              <a:gd name="connsiteY4" fmla="*/ 540422 h 540422"/>
              <a:gd name="connsiteX0" fmla="*/ 5401 w 222174"/>
              <a:gd name="connsiteY0" fmla="*/ 540422 h 540422"/>
              <a:gd name="connsiteX1" fmla="*/ 222015 w 222174"/>
              <a:gd name="connsiteY1" fmla="*/ 485733 h 540422"/>
              <a:gd name="connsiteX2" fmla="*/ 218505 w 222174"/>
              <a:gd name="connsiteY2" fmla="*/ 0 h 540422"/>
              <a:gd name="connsiteX3" fmla="*/ 0 w 222174"/>
              <a:gd name="connsiteY3" fmla="*/ 73414 h 540422"/>
              <a:gd name="connsiteX4" fmla="*/ 5401 w 222174"/>
              <a:gd name="connsiteY4" fmla="*/ 540422 h 540422"/>
              <a:gd name="connsiteX0" fmla="*/ 3004 w 222174"/>
              <a:gd name="connsiteY0" fmla="*/ 416378 h 485733"/>
              <a:gd name="connsiteX1" fmla="*/ 222015 w 222174"/>
              <a:gd name="connsiteY1" fmla="*/ 485733 h 485733"/>
              <a:gd name="connsiteX2" fmla="*/ 218505 w 222174"/>
              <a:gd name="connsiteY2" fmla="*/ 0 h 485733"/>
              <a:gd name="connsiteX3" fmla="*/ 0 w 222174"/>
              <a:gd name="connsiteY3" fmla="*/ 73414 h 485733"/>
              <a:gd name="connsiteX4" fmla="*/ 3004 w 222174"/>
              <a:gd name="connsiteY4" fmla="*/ 416378 h 485733"/>
              <a:gd name="connsiteX0" fmla="*/ 3004 w 222174"/>
              <a:gd name="connsiteY0" fmla="*/ 416378 h 416378"/>
              <a:gd name="connsiteX1" fmla="*/ 222015 w 222174"/>
              <a:gd name="connsiteY1" fmla="*/ 375731 h 416378"/>
              <a:gd name="connsiteX2" fmla="*/ 218505 w 222174"/>
              <a:gd name="connsiteY2" fmla="*/ 0 h 416378"/>
              <a:gd name="connsiteX3" fmla="*/ 0 w 222174"/>
              <a:gd name="connsiteY3" fmla="*/ 73414 h 416378"/>
              <a:gd name="connsiteX4" fmla="*/ 3004 w 222174"/>
              <a:gd name="connsiteY4" fmla="*/ 416378 h 4163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174" h="416378">
                <a:moveTo>
                  <a:pt x="3004" y="416378"/>
                </a:moveTo>
                <a:lnTo>
                  <a:pt x="222015" y="375731"/>
                </a:lnTo>
                <a:cubicBezTo>
                  <a:pt x="223206" y="213820"/>
                  <a:pt x="217314" y="161911"/>
                  <a:pt x="218505" y="0"/>
                </a:cubicBezTo>
                <a:lnTo>
                  <a:pt x="0" y="73414"/>
                </a:lnTo>
                <a:cubicBezTo>
                  <a:pt x="954" y="105831"/>
                  <a:pt x="2050" y="383961"/>
                  <a:pt x="3004" y="416378"/>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20" name="Freeform 219">
            <a:extLst>
              <a:ext uri="{FF2B5EF4-FFF2-40B4-BE49-F238E27FC236}">
                <a16:creationId xmlns:a16="http://schemas.microsoft.com/office/drawing/2014/main" id="{00000000-0008-0000-0F00-0000DC000000}"/>
              </a:ext>
            </a:extLst>
          </xdr:cNvPr>
          <xdr:cNvSpPr/>
        </xdr:nvSpPr>
        <xdr:spPr bwMode="auto">
          <a:xfrm>
            <a:off x="6447420" y="10994778"/>
            <a:ext cx="134356" cy="528876"/>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 name="connsiteX0" fmla="*/ 18639 w 130193"/>
              <a:gd name="connsiteY0" fmla="*/ 611104 h 611104"/>
              <a:gd name="connsiteX1" fmla="*/ 130192 w 130193"/>
              <a:gd name="connsiteY1" fmla="*/ 519574 h 611104"/>
              <a:gd name="connsiteX2" fmla="*/ 130193 w 130193"/>
              <a:gd name="connsiteY2" fmla="*/ 410881 h 611104"/>
              <a:gd name="connsiteX3" fmla="*/ 0 w 130193"/>
              <a:gd name="connsiteY3" fmla="*/ 1856 h 611104"/>
              <a:gd name="connsiteX4" fmla="*/ 18639 w 130193"/>
              <a:gd name="connsiteY4" fmla="*/ 611104 h 611104"/>
              <a:gd name="connsiteX0" fmla="*/ 9320 w 120874"/>
              <a:gd name="connsiteY0" fmla="*/ 601607 h 601607"/>
              <a:gd name="connsiteX1" fmla="*/ 120873 w 120874"/>
              <a:gd name="connsiteY1" fmla="*/ 510077 h 601607"/>
              <a:gd name="connsiteX2" fmla="*/ 120874 w 120874"/>
              <a:gd name="connsiteY2" fmla="*/ 401384 h 601607"/>
              <a:gd name="connsiteX3" fmla="*/ 0 w 120874"/>
              <a:gd name="connsiteY3" fmla="*/ 1893 h 601607"/>
              <a:gd name="connsiteX4" fmla="*/ 9320 w 120874"/>
              <a:gd name="connsiteY4" fmla="*/ 601607 h 601607"/>
              <a:gd name="connsiteX0" fmla="*/ 9320 w 120874"/>
              <a:gd name="connsiteY0" fmla="*/ 762754 h 762754"/>
              <a:gd name="connsiteX1" fmla="*/ 120873 w 120874"/>
              <a:gd name="connsiteY1" fmla="*/ 671224 h 762754"/>
              <a:gd name="connsiteX2" fmla="*/ 120874 w 120874"/>
              <a:gd name="connsiteY2" fmla="*/ 0 h 762754"/>
              <a:gd name="connsiteX3" fmla="*/ 0 w 120874"/>
              <a:gd name="connsiteY3" fmla="*/ 163040 h 762754"/>
              <a:gd name="connsiteX4" fmla="*/ 9320 w 120874"/>
              <a:gd name="connsiteY4" fmla="*/ 762754 h 762754"/>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105833 h 705547"/>
              <a:gd name="connsiteX4" fmla="*/ 9320 w 120874"/>
              <a:gd name="connsiteY4" fmla="*/ 705547 h 705547"/>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75947 h 705547"/>
              <a:gd name="connsiteX4" fmla="*/ 9320 w 120874"/>
              <a:gd name="connsiteY4" fmla="*/ 705547 h 705547"/>
              <a:gd name="connsiteX0" fmla="*/ 9320 w 120874"/>
              <a:gd name="connsiteY0" fmla="*/ 746929 h 746929"/>
              <a:gd name="connsiteX1" fmla="*/ 120873 w 120874"/>
              <a:gd name="connsiteY1" fmla="*/ 655399 h 746929"/>
              <a:gd name="connsiteX2" fmla="*/ 120874 w 120874"/>
              <a:gd name="connsiteY2" fmla="*/ 0 h 746929"/>
              <a:gd name="connsiteX3" fmla="*/ 0 w 120874"/>
              <a:gd name="connsiteY3" fmla="*/ 117329 h 746929"/>
              <a:gd name="connsiteX4" fmla="*/ 9320 w 120874"/>
              <a:gd name="connsiteY4" fmla="*/ 746929 h 746929"/>
              <a:gd name="connsiteX0" fmla="*/ 9320 w 120874"/>
              <a:gd name="connsiteY0" fmla="*/ 746929 h 746929"/>
              <a:gd name="connsiteX1" fmla="*/ 120873 w 120874"/>
              <a:gd name="connsiteY1" fmla="*/ 476507 h 746929"/>
              <a:gd name="connsiteX2" fmla="*/ 120874 w 120874"/>
              <a:gd name="connsiteY2" fmla="*/ 0 h 746929"/>
              <a:gd name="connsiteX3" fmla="*/ 0 w 120874"/>
              <a:gd name="connsiteY3" fmla="*/ 117329 h 746929"/>
              <a:gd name="connsiteX4" fmla="*/ 9320 w 120874"/>
              <a:gd name="connsiteY4" fmla="*/ 746929 h 746929"/>
              <a:gd name="connsiteX0" fmla="*/ 7145 w 120874"/>
              <a:gd name="connsiteY0" fmla="*/ 577095 h 577095"/>
              <a:gd name="connsiteX1" fmla="*/ 120873 w 120874"/>
              <a:gd name="connsiteY1" fmla="*/ 476507 h 577095"/>
              <a:gd name="connsiteX2" fmla="*/ 120874 w 120874"/>
              <a:gd name="connsiteY2" fmla="*/ 0 h 577095"/>
              <a:gd name="connsiteX3" fmla="*/ 0 w 120874"/>
              <a:gd name="connsiteY3" fmla="*/ 117329 h 577095"/>
              <a:gd name="connsiteX4" fmla="*/ 7145 w 120874"/>
              <a:gd name="connsiteY4" fmla="*/ 577095 h 577095"/>
              <a:gd name="connsiteX0" fmla="*/ 7145 w 120874"/>
              <a:gd name="connsiteY0" fmla="*/ 495575 h 495575"/>
              <a:gd name="connsiteX1" fmla="*/ 120873 w 120874"/>
              <a:gd name="connsiteY1" fmla="*/ 476507 h 495575"/>
              <a:gd name="connsiteX2" fmla="*/ 120874 w 120874"/>
              <a:gd name="connsiteY2" fmla="*/ 0 h 495575"/>
              <a:gd name="connsiteX3" fmla="*/ 0 w 120874"/>
              <a:gd name="connsiteY3" fmla="*/ 117329 h 495575"/>
              <a:gd name="connsiteX4" fmla="*/ 7145 w 120874"/>
              <a:gd name="connsiteY4" fmla="*/ 495575 h 495575"/>
              <a:gd name="connsiteX0" fmla="*/ 7145 w 120874"/>
              <a:gd name="connsiteY0" fmla="*/ 495575 h 495575"/>
              <a:gd name="connsiteX1" fmla="*/ 120873 w 120874"/>
              <a:gd name="connsiteY1" fmla="*/ 394987 h 495575"/>
              <a:gd name="connsiteX2" fmla="*/ 120874 w 120874"/>
              <a:gd name="connsiteY2" fmla="*/ 0 h 495575"/>
              <a:gd name="connsiteX3" fmla="*/ 0 w 120874"/>
              <a:gd name="connsiteY3" fmla="*/ 117329 h 495575"/>
              <a:gd name="connsiteX4" fmla="*/ 7145 w 120874"/>
              <a:gd name="connsiteY4" fmla="*/ 495575 h 4955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0874" h="495575">
                <a:moveTo>
                  <a:pt x="7145" y="495575"/>
                </a:moveTo>
                <a:cubicBezTo>
                  <a:pt x="44329" y="465065"/>
                  <a:pt x="83689" y="425497"/>
                  <a:pt x="120873" y="394987"/>
                </a:cubicBezTo>
                <a:cubicBezTo>
                  <a:pt x="120873" y="352082"/>
                  <a:pt x="120874" y="42905"/>
                  <a:pt x="120874" y="0"/>
                </a:cubicBezTo>
                <a:cubicBezTo>
                  <a:pt x="83689" y="35278"/>
                  <a:pt x="37185" y="82051"/>
                  <a:pt x="0" y="117329"/>
                </a:cubicBezTo>
                <a:cubicBezTo>
                  <a:pt x="954" y="149746"/>
                  <a:pt x="6191" y="463158"/>
                  <a:pt x="7145" y="495575"/>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0240" name="Freeform 10239">
            <a:extLst>
              <a:ext uri="{FF2B5EF4-FFF2-40B4-BE49-F238E27FC236}">
                <a16:creationId xmlns:a16="http://schemas.microsoft.com/office/drawing/2014/main" id="{00000000-0008-0000-0F00-000000280000}"/>
              </a:ext>
            </a:extLst>
          </xdr:cNvPr>
          <xdr:cNvSpPr/>
        </xdr:nvSpPr>
        <xdr:spPr>
          <a:xfrm>
            <a:off x="4562474" y="7249898"/>
            <a:ext cx="2020888" cy="5257061"/>
          </a:xfrm>
          <a:custGeom>
            <a:avLst/>
            <a:gdLst>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38125 w 2019300"/>
              <a:gd name="connsiteY6" fmla="*/ 5848350 h 5953125"/>
              <a:gd name="connsiteX7" fmla="*/ 9525 w 2019300"/>
              <a:gd name="connsiteY7" fmla="*/ 5953125 h 5953125"/>
              <a:gd name="connsiteX8" fmla="*/ 0 w 2019300"/>
              <a:gd name="connsiteY8" fmla="*/ 1123950 h 5953125"/>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38125 w 2019300"/>
              <a:gd name="connsiteY6" fmla="*/ 5895975 h 5953125"/>
              <a:gd name="connsiteX7" fmla="*/ 9525 w 2019300"/>
              <a:gd name="connsiteY7" fmla="*/ 5953125 h 5953125"/>
              <a:gd name="connsiteX8" fmla="*/ 0 w 2019300"/>
              <a:gd name="connsiteY8" fmla="*/ 1123950 h 5953125"/>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38125 w 2019300"/>
              <a:gd name="connsiteY6" fmla="*/ 5886450 h 5953125"/>
              <a:gd name="connsiteX7" fmla="*/ 9525 w 2019300"/>
              <a:gd name="connsiteY7" fmla="*/ 5953125 h 5953125"/>
              <a:gd name="connsiteX8" fmla="*/ 0 w 2019300"/>
              <a:gd name="connsiteY8" fmla="*/ 1123950 h 5953125"/>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28600 w 2019300"/>
              <a:gd name="connsiteY6" fmla="*/ 5895975 h 5953125"/>
              <a:gd name="connsiteX7" fmla="*/ 9525 w 2019300"/>
              <a:gd name="connsiteY7" fmla="*/ 5953125 h 5953125"/>
              <a:gd name="connsiteX8" fmla="*/ 0 w 2019300"/>
              <a:gd name="connsiteY8" fmla="*/ 1123950 h 5953125"/>
              <a:gd name="connsiteX0" fmla="*/ 0 w 2019300"/>
              <a:gd name="connsiteY0" fmla="*/ 1123950 h 5895975"/>
              <a:gd name="connsiteX1" fmla="*/ 209550 w 2019300"/>
              <a:gd name="connsiteY1" fmla="*/ 1047750 h 5895975"/>
              <a:gd name="connsiteX2" fmla="*/ 1857375 w 2019300"/>
              <a:gd name="connsiteY2" fmla="*/ 142875 h 5895975"/>
              <a:gd name="connsiteX3" fmla="*/ 2009775 w 2019300"/>
              <a:gd name="connsiteY3" fmla="*/ 0 h 5895975"/>
              <a:gd name="connsiteX4" fmla="*/ 2019300 w 2019300"/>
              <a:gd name="connsiteY4" fmla="*/ 4791075 h 5895975"/>
              <a:gd name="connsiteX5" fmla="*/ 1876425 w 2019300"/>
              <a:gd name="connsiteY5" fmla="*/ 4914900 h 5895975"/>
              <a:gd name="connsiteX6" fmla="*/ 228600 w 2019300"/>
              <a:gd name="connsiteY6" fmla="*/ 5895975 h 5895975"/>
              <a:gd name="connsiteX7" fmla="*/ 1606 w 2019300"/>
              <a:gd name="connsiteY7" fmla="*/ 5718303 h 5895975"/>
              <a:gd name="connsiteX8" fmla="*/ 0 w 2019300"/>
              <a:gd name="connsiteY8" fmla="*/ 1123950 h 5895975"/>
              <a:gd name="connsiteX0" fmla="*/ 0 w 2019300"/>
              <a:gd name="connsiteY0" fmla="*/ 1123950 h 5895975"/>
              <a:gd name="connsiteX1" fmla="*/ 209550 w 2019300"/>
              <a:gd name="connsiteY1" fmla="*/ 1047750 h 5895975"/>
              <a:gd name="connsiteX2" fmla="*/ 1857375 w 2019300"/>
              <a:gd name="connsiteY2" fmla="*/ 142875 h 5895975"/>
              <a:gd name="connsiteX3" fmla="*/ 2009775 w 2019300"/>
              <a:gd name="connsiteY3" fmla="*/ 0 h 5895975"/>
              <a:gd name="connsiteX4" fmla="*/ 2019300 w 2019300"/>
              <a:gd name="connsiteY4" fmla="*/ 4791075 h 5895975"/>
              <a:gd name="connsiteX5" fmla="*/ 1876425 w 2019300"/>
              <a:gd name="connsiteY5" fmla="*/ 4914900 h 5895975"/>
              <a:gd name="connsiteX6" fmla="*/ 228600 w 2019300"/>
              <a:gd name="connsiteY6" fmla="*/ 5895975 h 5895975"/>
              <a:gd name="connsiteX7" fmla="*/ 1606 w 2019300"/>
              <a:gd name="connsiteY7" fmla="*/ 5742595 h 5895975"/>
              <a:gd name="connsiteX8" fmla="*/ 0 w 2019300"/>
              <a:gd name="connsiteY8" fmla="*/ 1123950 h 5895975"/>
              <a:gd name="connsiteX0" fmla="*/ 0 w 2019300"/>
              <a:gd name="connsiteY0" fmla="*/ 1123950 h 5742595"/>
              <a:gd name="connsiteX1" fmla="*/ 209550 w 2019300"/>
              <a:gd name="connsiteY1" fmla="*/ 1047750 h 5742595"/>
              <a:gd name="connsiteX2" fmla="*/ 1857375 w 2019300"/>
              <a:gd name="connsiteY2" fmla="*/ 142875 h 5742595"/>
              <a:gd name="connsiteX3" fmla="*/ 2009775 w 2019300"/>
              <a:gd name="connsiteY3" fmla="*/ 0 h 5742595"/>
              <a:gd name="connsiteX4" fmla="*/ 2019300 w 2019300"/>
              <a:gd name="connsiteY4" fmla="*/ 4791075 h 5742595"/>
              <a:gd name="connsiteX5" fmla="*/ 1876425 w 2019300"/>
              <a:gd name="connsiteY5" fmla="*/ 4914900 h 5742595"/>
              <a:gd name="connsiteX6" fmla="*/ 228600 w 2019300"/>
              <a:gd name="connsiteY6" fmla="*/ 5701640 h 5742595"/>
              <a:gd name="connsiteX7" fmla="*/ 1606 w 2019300"/>
              <a:gd name="connsiteY7" fmla="*/ 5742595 h 5742595"/>
              <a:gd name="connsiteX8" fmla="*/ 0 w 2019300"/>
              <a:gd name="connsiteY8" fmla="*/ 1123950 h 5742595"/>
              <a:gd name="connsiteX0" fmla="*/ 0 w 2019300"/>
              <a:gd name="connsiteY0" fmla="*/ 1123950 h 5742595"/>
              <a:gd name="connsiteX1" fmla="*/ 209550 w 2019300"/>
              <a:gd name="connsiteY1" fmla="*/ 1047750 h 5742595"/>
              <a:gd name="connsiteX2" fmla="*/ 1857375 w 2019300"/>
              <a:gd name="connsiteY2" fmla="*/ 142875 h 5742595"/>
              <a:gd name="connsiteX3" fmla="*/ 2009775 w 2019300"/>
              <a:gd name="connsiteY3" fmla="*/ 0 h 5742595"/>
              <a:gd name="connsiteX4" fmla="*/ 2019300 w 2019300"/>
              <a:gd name="connsiteY4" fmla="*/ 4791075 h 5742595"/>
              <a:gd name="connsiteX5" fmla="*/ 1876425 w 2019300"/>
              <a:gd name="connsiteY5" fmla="*/ 4744857 h 5742595"/>
              <a:gd name="connsiteX6" fmla="*/ 228600 w 2019300"/>
              <a:gd name="connsiteY6" fmla="*/ 5701640 h 5742595"/>
              <a:gd name="connsiteX7" fmla="*/ 1606 w 2019300"/>
              <a:gd name="connsiteY7" fmla="*/ 5742595 h 5742595"/>
              <a:gd name="connsiteX8" fmla="*/ 0 w 2019300"/>
              <a:gd name="connsiteY8" fmla="*/ 1123950 h 5742595"/>
              <a:gd name="connsiteX0" fmla="*/ 0 w 2011382"/>
              <a:gd name="connsiteY0" fmla="*/ 1123950 h 5742595"/>
              <a:gd name="connsiteX1" fmla="*/ 209550 w 2011382"/>
              <a:gd name="connsiteY1" fmla="*/ 1047750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123950 h 5742595"/>
              <a:gd name="connsiteX0" fmla="*/ 0 w 2011382"/>
              <a:gd name="connsiteY0" fmla="*/ 1302090 h 5742595"/>
              <a:gd name="connsiteX1" fmla="*/ 209550 w 2011382"/>
              <a:gd name="connsiteY1" fmla="*/ 1047750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02090 h 5742595"/>
              <a:gd name="connsiteX0" fmla="*/ 0 w 2011382"/>
              <a:gd name="connsiteY0" fmla="*/ 1342577 h 5742595"/>
              <a:gd name="connsiteX1" fmla="*/ 209550 w 2011382"/>
              <a:gd name="connsiteY1" fmla="*/ 1047750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342577 h 5742595"/>
              <a:gd name="connsiteX1" fmla="*/ 217468 w 2011382"/>
              <a:gd name="connsiteY1" fmla="*/ 1306864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342577 h 5742595"/>
              <a:gd name="connsiteX1" fmla="*/ 217468 w 2011382"/>
              <a:gd name="connsiteY1" fmla="*/ 1282572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342577 h 5742595"/>
              <a:gd name="connsiteX1" fmla="*/ 217468 w 2011382"/>
              <a:gd name="connsiteY1" fmla="*/ 1282572 h 5742595"/>
              <a:gd name="connsiteX2" fmla="*/ 1873213 w 2011382"/>
              <a:gd name="connsiteY2" fmla="*/ 401989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115853 h 5515871"/>
              <a:gd name="connsiteX1" fmla="*/ 217468 w 2011382"/>
              <a:gd name="connsiteY1" fmla="*/ 1055848 h 5515871"/>
              <a:gd name="connsiteX2" fmla="*/ 1873213 w 2011382"/>
              <a:gd name="connsiteY2" fmla="*/ 175265 h 5515871"/>
              <a:gd name="connsiteX3" fmla="*/ 2009775 w 2011382"/>
              <a:gd name="connsiteY3" fmla="*/ 0 h 5515871"/>
              <a:gd name="connsiteX4" fmla="*/ 2011382 w 2011382"/>
              <a:gd name="connsiteY4" fmla="*/ 4394309 h 5515871"/>
              <a:gd name="connsiteX5" fmla="*/ 1876425 w 2011382"/>
              <a:gd name="connsiteY5" fmla="*/ 4518133 h 5515871"/>
              <a:gd name="connsiteX6" fmla="*/ 228600 w 2011382"/>
              <a:gd name="connsiteY6" fmla="*/ 5474916 h 5515871"/>
              <a:gd name="connsiteX7" fmla="*/ 1606 w 2011382"/>
              <a:gd name="connsiteY7" fmla="*/ 5515871 h 5515871"/>
              <a:gd name="connsiteX8" fmla="*/ 0 w 2011382"/>
              <a:gd name="connsiteY8" fmla="*/ 1115853 h 5515871"/>
              <a:gd name="connsiteX0" fmla="*/ 0 w 2011382"/>
              <a:gd name="connsiteY0" fmla="*/ 1115853 h 5515871"/>
              <a:gd name="connsiteX1" fmla="*/ 217468 w 2011382"/>
              <a:gd name="connsiteY1" fmla="*/ 1055848 h 5515871"/>
              <a:gd name="connsiteX2" fmla="*/ 1865294 w 2011382"/>
              <a:gd name="connsiteY2" fmla="*/ 150973 h 5515871"/>
              <a:gd name="connsiteX3" fmla="*/ 2009775 w 2011382"/>
              <a:gd name="connsiteY3" fmla="*/ 0 h 5515871"/>
              <a:gd name="connsiteX4" fmla="*/ 2011382 w 2011382"/>
              <a:gd name="connsiteY4" fmla="*/ 4394309 h 5515871"/>
              <a:gd name="connsiteX5" fmla="*/ 1876425 w 2011382"/>
              <a:gd name="connsiteY5" fmla="*/ 4518133 h 5515871"/>
              <a:gd name="connsiteX6" fmla="*/ 228600 w 2011382"/>
              <a:gd name="connsiteY6" fmla="*/ 5474916 h 5515871"/>
              <a:gd name="connsiteX7" fmla="*/ 1606 w 2011382"/>
              <a:gd name="connsiteY7" fmla="*/ 5515871 h 5515871"/>
              <a:gd name="connsiteX8" fmla="*/ 0 w 2011382"/>
              <a:gd name="connsiteY8" fmla="*/ 1115853 h 5515871"/>
              <a:gd name="connsiteX0" fmla="*/ 0 w 2020907"/>
              <a:gd name="connsiteY0" fmla="*/ 1145069 h 5515871"/>
              <a:gd name="connsiteX1" fmla="*/ 226993 w 2020907"/>
              <a:gd name="connsiteY1" fmla="*/ 1055848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145069 h 5515871"/>
              <a:gd name="connsiteX0" fmla="*/ 0 w 2020907"/>
              <a:gd name="connsiteY0" fmla="*/ 1145069 h 5515871"/>
              <a:gd name="connsiteX1" fmla="*/ 226993 w 2020907"/>
              <a:gd name="connsiteY1" fmla="*/ 1085063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145069 h 5515871"/>
              <a:gd name="connsiteX0" fmla="*/ 0 w 2020907"/>
              <a:gd name="connsiteY0" fmla="*/ 1232716 h 5515871"/>
              <a:gd name="connsiteX1" fmla="*/ 226993 w 2020907"/>
              <a:gd name="connsiteY1" fmla="*/ 1085063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232716 h 5515871"/>
              <a:gd name="connsiteX0" fmla="*/ 0 w 2020907"/>
              <a:gd name="connsiteY0" fmla="*/ 1232716 h 5515871"/>
              <a:gd name="connsiteX1" fmla="*/ 226993 w 2020907"/>
              <a:gd name="connsiteY1" fmla="*/ 1143494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232716 h 5515871"/>
              <a:gd name="connsiteX0" fmla="*/ 0 w 2020907"/>
              <a:gd name="connsiteY0" fmla="*/ 1232716 h 5515871"/>
              <a:gd name="connsiteX1" fmla="*/ 226993 w 2020907"/>
              <a:gd name="connsiteY1" fmla="*/ 1143494 h 5515871"/>
              <a:gd name="connsiteX2" fmla="*/ 1874819 w 2020907"/>
              <a:gd name="connsiteY2" fmla="*/ 21914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232716 h 5515871"/>
              <a:gd name="connsiteX0" fmla="*/ 0 w 2020907"/>
              <a:gd name="connsiteY0" fmla="*/ 1106116 h 5389271"/>
              <a:gd name="connsiteX1" fmla="*/ 226993 w 2020907"/>
              <a:gd name="connsiteY1" fmla="*/ 1016894 h 5389271"/>
              <a:gd name="connsiteX2" fmla="*/ 1874819 w 2020907"/>
              <a:gd name="connsiteY2" fmla="*/ 92543 h 5389271"/>
              <a:gd name="connsiteX3" fmla="*/ 2019300 w 2020907"/>
              <a:gd name="connsiteY3" fmla="*/ 0 h 5389271"/>
              <a:gd name="connsiteX4" fmla="*/ 2020907 w 2020907"/>
              <a:gd name="connsiteY4" fmla="*/ 4267709 h 5389271"/>
              <a:gd name="connsiteX5" fmla="*/ 1885950 w 2020907"/>
              <a:gd name="connsiteY5" fmla="*/ 4391533 h 5389271"/>
              <a:gd name="connsiteX6" fmla="*/ 238125 w 2020907"/>
              <a:gd name="connsiteY6" fmla="*/ 5348316 h 5389271"/>
              <a:gd name="connsiteX7" fmla="*/ 11131 w 2020907"/>
              <a:gd name="connsiteY7" fmla="*/ 5389271 h 5389271"/>
              <a:gd name="connsiteX8" fmla="*/ 0 w 2020907"/>
              <a:gd name="connsiteY8" fmla="*/ 1106116 h 5389271"/>
              <a:gd name="connsiteX0" fmla="*/ 0 w 2020907"/>
              <a:gd name="connsiteY0" fmla="*/ 1135331 h 5418486"/>
              <a:gd name="connsiteX1" fmla="*/ 226993 w 2020907"/>
              <a:gd name="connsiteY1" fmla="*/ 1046109 h 5418486"/>
              <a:gd name="connsiteX2" fmla="*/ 1874819 w 2020907"/>
              <a:gd name="connsiteY2" fmla="*/ 121758 h 5418486"/>
              <a:gd name="connsiteX3" fmla="*/ 2019300 w 2020907"/>
              <a:gd name="connsiteY3" fmla="*/ 0 h 5418486"/>
              <a:gd name="connsiteX4" fmla="*/ 2020907 w 2020907"/>
              <a:gd name="connsiteY4" fmla="*/ 4296924 h 5418486"/>
              <a:gd name="connsiteX5" fmla="*/ 1885950 w 2020907"/>
              <a:gd name="connsiteY5" fmla="*/ 4420748 h 5418486"/>
              <a:gd name="connsiteX6" fmla="*/ 238125 w 2020907"/>
              <a:gd name="connsiteY6" fmla="*/ 5377531 h 5418486"/>
              <a:gd name="connsiteX7" fmla="*/ 11131 w 2020907"/>
              <a:gd name="connsiteY7" fmla="*/ 5418486 h 5418486"/>
              <a:gd name="connsiteX8" fmla="*/ 0 w 2020907"/>
              <a:gd name="connsiteY8" fmla="*/ 1135331 h 5418486"/>
              <a:gd name="connsiteX0" fmla="*/ 0 w 2020907"/>
              <a:gd name="connsiteY0" fmla="*/ 1092147 h 5375302"/>
              <a:gd name="connsiteX1" fmla="*/ 226993 w 2020907"/>
              <a:gd name="connsiteY1" fmla="*/ 1002925 h 5375302"/>
              <a:gd name="connsiteX2" fmla="*/ 1874819 w 2020907"/>
              <a:gd name="connsiteY2" fmla="*/ 78574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092147 h 5375302"/>
              <a:gd name="connsiteX0" fmla="*/ 0 w 2020907"/>
              <a:gd name="connsiteY0" fmla="*/ 1092147 h 5375302"/>
              <a:gd name="connsiteX1" fmla="*/ 226993 w 2020907"/>
              <a:gd name="connsiteY1" fmla="*/ 1061361 h 5375302"/>
              <a:gd name="connsiteX2" fmla="*/ 1874819 w 2020907"/>
              <a:gd name="connsiteY2" fmla="*/ 78574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092147 h 5375302"/>
              <a:gd name="connsiteX0" fmla="*/ 0 w 2020907"/>
              <a:gd name="connsiteY0" fmla="*/ 1131104 h 5375302"/>
              <a:gd name="connsiteX1" fmla="*/ 226993 w 2020907"/>
              <a:gd name="connsiteY1" fmla="*/ 1061361 h 5375302"/>
              <a:gd name="connsiteX2" fmla="*/ 1874819 w 2020907"/>
              <a:gd name="connsiteY2" fmla="*/ 78574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131104 h 5375302"/>
              <a:gd name="connsiteX0" fmla="*/ 0 w 2020907"/>
              <a:gd name="connsiteY0" fmla="*/ 1131104 h 5375302"/>
              <a:gd name="connsiteX1" fmla="*/ 226993 w 2020907"/>
              <a:gd name="connsiteY1" fmla="*/ 1061361 h 5375302"/>
              <a:gd name="connsiteX2" fmla="*/ 1874819 w 2020907"/>
              <a:gd name="connsiteY2" fmla="*/ 107792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131104 h 53753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020907" h="5375302">
                <a:moveTo>
                  <a:pt x="0" y="1131104"/>
                </a:moveTo>
                <a:lnTo>
                  <a:pt x="226993" y="1061361"/>
                </a:lnTo>
                <a:lnTo>
                  <a:pt x="1874819" y="107792"/>
                </a:lnTo>
                <a:lnTo>
                  <a:pt x="2005119" y="0"/>
                </a:lnTo>
                <a:cubicBezTo>
                  <a:pt x="2005655" y="1540344"/>
                  <a:pt x="2020371" y="2713396"/>
                  <a:pt x="2020907" y="4253740"/>
                </a:cubicBezTo>
                <a:lnTo>
                  <a:pt x="1885950" y="4377564"/>
                </a:lnTo>
                <a:lnTo>
                  <a:pt x="238125" y="5334347"/>
                </a:lnTo>
                <a:lnTo>
                  <a:pt x="11131" y="5375302"/>
                </a:lnTo>
                <a:cubicBezTo>
                  <a:pt x="10596" y="3843851"/>
                  <a:pt x="535" y="2662555"/>
                  <a:pt x="0" y="1131104"/>
                </a:cubicBezTo>
                <a:close/>
              </a:path>
            </a:pathLst>
          </a:cu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22" name="Straight Connector 221">
            <a:extLst>
              <a:ext uri="{FF2B5EF4-FFF2-40B4-BE49-F238E27FC236}">
                <a16:creationId xmlns:a16="http://schemas.microsoft.com/office/drawing/2014/main" id="{00000000-0008-0000-0F00-0000DE000000}"/>
              </a:ext>
            </a:extLst>
          </xdr:cNvPr>
          <xdr:cNvCxnSpPr/>
        </xdr:nvCxnSpPr>
        <xdr:spPr>
          <a:xfrm flipH="1">
            <a:off x="6488526" y="10874742"/>
            <a:ext cx="401057" cy="233156"/>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265" name="Freeform 264">
            <a:extLst>
              <a:ext uri="{FF2B5EF4-FFF2-40B4-BE49-F238E27FC236}">
                <a16:creationId xmlns:a16="http://schemas.microsoft.com/office/drawing/2014/main" id="{00000000-0008-0000-0F00-000009010000}"/>
              </a:ext>
            </a:extLst>
          </xdr:cNvPr>
          <xdr:cNvSpPr/>
        </xdr:nvSpPr>
        <xdr:spPr bwMode="auto">
          <a:xfrm>
            <a:off x="4581526" y="10998688"/>
            <a:ext cx="1993653" cy="1135892"/>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 name="connsiteX0" fmla="*/ 0 w 1993623"/>
              <a:gd name="connsiteY0" fmla="*/ 1141130 h 1141130"/>
              <a:gd name="connsiteX1" fmla="*/ 1993623 w 1993623"/>
              <a:gd name="connsiteY1" fmla="*/ 0 h 1141130"/>
              <a:gd name="connsiteX2" fmla="*/ 1864082 w 1993623"/>
              <a:gd name="connsiteY2" fmla="*/ 126801 h 1141130"/>
              <a:gd name="connsiteX3" fmla="*/ 209550 w 1993623"/>
              <a:gd name="connsiteY3" fmla="*/ 1074455 h 1141130"/>
              <a:gd name="connsiteX4" fmla="*/ 0 w 1993623"/>
              <a:gd name="connsiteY4" fmla="*/ 1141130 h 1141130"/>
              <a:gd name="connsiteX0" fmla="*/ 0 w 1993623"/>
              <a:gd name="connsiteY0" fmla="*/ 1136221 h 1136221"/>
              <a:gd name="connsiteX1" fmla="*/ 1993623 w 1993623"/>
              <a:gd name="connsiteY1" fmla="*/ 0 h 1136221"/>
              <a:gd name="connsiteX2" fmla="*/ 1864082 w 1993623"/>
              <a:gd name="connsiteY2" fmla="*/ 121892 h 1136221"/>
              <a:gd name="connsiteX3" fmla="*/ 209550 w 1993623"/>
              <a:gd name="connsiteY3" fmla="*/ 1069546 h 1136221"/>
              <a:gd name="connsiteX4" fmla="*/ 0 w 1993623"/>
              <a:gd name="connsiteY4" fmla="*/ 1136221 h 11362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93623" h="1136221">
                <a:moveTo>
                  <a:pt x="0" y="1136221"/>
                </a:moveTo>
                <a:lnTo>
                  <a:pt x="1993623" y="0"/>
                </a:lnTo>
                <a:lnTo>
                  <a:pt x="1864082" y="121892"/>
                </a:lnTo>
                <a:lnTo>
                  <a:pt x="209550" y="1069546"/>
                </a:lnTo>
                <a:lnTo>
                  <a:pt x="0" y="1136221"/>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211" name="Straight Arrow Connector 210">
            <a:extLst>
              <a:ext uri="{FF2B5EF4-FFF2-40B4-BE49-F238E27FC236}">
                <a16:creationId xmlns:a16="http://schemas.microsoft.com/office/drawing/2014/main" id="{00000000-0008-0000-0F00-0000D3000000}"/>
              </a:ext>
            </a:extLst>
          </xdr:cNvPr>
          <xdr:cNvCxnSpPr/>
        </xdr:nvCxnSpPr>
        <xdr:spPr>
          <a:xfrm flipH="1">
            <a:off x="6758882" y="1072515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12" name="Straight Arrow Connector 211">
            <a:extLst>
              <a:ext uri="{FF2B5EF4-FFF2-40B4-BE49-F238E27FC236}">
                <a16:creationId xmlns:a16="http://schemas.microsoft.com/office/drawing/2014/main" id="{00000000-0008-0000-0F00-0000D4000000}"/>
              </a:ext>
            </a:extLst>
          </xdr:cNvPr>
          <xdr:cNvCxnSpPr/>
        </xdr:nvCxnSpPr>
        <xdr:spPr>
          <a:xfrm flipH="1" flipV="1">
            <a:off x="6758882" y="10315575"/>
            <a:ext cx="2" cy="2381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 textlink="">
        <xdr:nvSpPr>
          <xdr:cNvPr id="213" name="TextBox 212">
            <a:extLst>
              <a:ext uri="{FF2B5EF4-FFF2-40B4-BE49-F238E27FC236}">
                <a16:creationId xmlns:a16="http://schemas.microsoft.com/office/drawing/2014/main" id="{00000000-0008-0000-0F00-0000D5000000}"/>
              </a:ext>
            </a:extLst>
          </xdr:cNvPr>
          <xdr:cNvSpPr txBox="1"/>
        </xdr:nvSpPr>
        <xdr:spPr>
          <a:xfrm>
            <a:off x="6606481" y="10487025"/>
            <a:ext cx="1047751"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̴10-20</a:t>
            </a:r>
            <a:r>
              <a:rPr lang="en-US" sz="1600" b="1" baseline="0"/>
              <a:t> mm</a:t>
            </a:r>
            <a:endParaRPr lang="en-US" sz="1600" b="1"/>
          </a:p>
        </xdr:txBody>
      </xdr:sp>
      <xdr:cxnSp macro="">
        <xdr:nvCxnSpPr>
          <xdr:cNvPr id="214" name="Straight Connector 213">
            <a:extLst>
              <a:ext uri="{FF2B5EF4-FFF2-40B4-BE49-F238E27FC236}">
                <a16:creationId xmlns:a16="http://schemas.microsoft.com/office/drawing/2014/main" id="{00000000-0008-0000-0F00-0000D6000000}"/>
              </a:ext>
            </a:extLst>
          </xdr:cNvPr>
          <xdr:cNvCxnSpPr/>
        </xdr:nvCxnSpPr>
        <xdr:spPr>
          <a:xfrm flipH="1">
            <a:off x="6484658" y="10874742"/>
            <a:ext cx="401057" cy="23315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15" name="Straight Arrow Connector 214">
            <a:extLst>
              <a:ext uri="{FF2B5EF4-FFF2-40B4-BE49-F238E27FC236}">
                <a16:creationId xmlns:a16="http://schemas.microsoft.com/office/drawing/2014/main" id="{00000000-0008-0000-0F00-0000D7000000}"/>
              </a:ext>
            </a:extLst>
          </xdr:cNvPr>
          <xdr:cNvCxnSpPr/>
        </xdr:nvCxnSpPr>
        <xdr:spPr>
          <a:xfrm flipH="1">
            <a:off x="6749357" y="1112520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16" name="Straight Arrow Connector 215">
            <a:extLst>
              <a:ext uri="{FF2B5EF4-FFF2-40B4-BE49-F238E27FC236}">
                <a16:creationId xmlns:a16="http://schemas.microsoft.com/office/drawing/2014/main" id="{00000000-0008-0000-0F00-0000D8000000}"/>
              </a:ext>
            </a:extLst>
          </xdr:cNvPr>
          <xdr:cNvCxnSpPr/>
        </xdr:nvCxnSpPr>
        <xdr:spPr>
          <a:xfrm flipH="1" flipV="1">
            <a:off x="6749357" y="10953750"/>
            <a:ext cx="2" cy="2381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F00-0000E2000000}"/>
              </a:ext>
            </a:extLst>
          </xdr:cNvPr>
          <xdr:cNvCxnSpPr/>
        </xdr:nvCxnSpPr>
        <xdr:spPr>
          <a:xfrm flipH="1">
            <a:off x="6475133" y="11274792"/>
            <a:ext cx="401057" cy="233156"/>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21" name="TextBox 20">
            <a:extLst>
              <a:ext uri="{FF2B5EF4-FFF2-40B4-BE49-F238E27FC236}">
                <a16:creationId xmlns:a16="http://schemas.microsoft.com/office/drawing/2014/main" id="{00000000-0008-0000-0F00-000015000000}"/>
              </a:ext>
            </a:extLst>
          </xdr:cNvPr>
          <xdr:cNvSpPr txBox="1"/>
        </xdr:nvSpPr>
        <xdr:spPr>
          <a:xfrm>
            <a:off x="7229475" y="11277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grpSp>
    <xdr:clientData/>
  </xdr:twoCellAnchor>
  <xdr:twoCellAnchor>
    <xdr:from>
      <xdr:col>10</xdr:col>
      <xdr:colOff>361950</xdr:colOff>
      <xdr:row>74</xdr:row>
      <xdr:rowOff>133351</xdr:rowOff>
    </xdr:from>
    <xdr:to>
      <xdr:col>14</xdr:col>
      <xdr:colOff>266700</xdr:colOff>
      <xdr:row>78</xdr:row>
      <xdr:rowOff>152401</xdr:rowOff>
    </xdr:to>
    <xdr:sp macro="" textlink="">
      <xdr:nvSpPr>
        <xdr:cNvPr id="227" name="AutoShape 474">
          <a:extLst>
            <a:ext uri="{FF2B5EF4-FFF2-40B4-BE49-F238E27FC236}">
              <a16:creationId xmlns:a16="http://schemas.microsoft.com/office/drawing/2014/main" id="{00000000-0008-0000-0F00-0000E3000000}"/>
            </a:ext>
          </a:extLst>
        </xdr:cNvPr>
        <xdr:cNvSpPr>
          <a:spLocks/>
        </xdr:cNvSpPr>
      </xdr:nvSpPr>
      <xdr:spPr bwMode="auto">
        <a:xfrm>
          <a:off x="6457950" y="12115801"/>
          <a:ext cx="2343150" cy="666750"/>
        </a:xfrm>
        <a:prstGeom prst="callout2">
          <a:avLst>
            <a:gd name="adj1" fmla="val 22053"/>
            <a:gd name="adj2" fmla="val -2924"/>
            <a:gd name="adj3" fmla="val 20624"/>
            <a:gd name="adj4" fmla="val -17621"/>
            <a:gd name="adj5" fmla="val -13982"/>
            <a:gd name="adj6" fmla="val -30695"/>
          </a:avLst>
        </a:prstGeom>
        <a:solidFill>
          <a:srgbClr val="FFFFFF"/>
        </a:solidFill>
        <a:ln w="12700">
          <a:solidFill>
            <a:srgbClr val="000000"/>
          </a:solidFill>
          <a:miter lim="800000"/>
          <a:headEnd/>
          <a:tailEnd type="triangle" w="lg" len="lg"/>
        </a:ln>
      </xdr:spPr>
      <xdr:txBody>
        <a:bodyPr vertOverflow="clip" wrap="square" lIns="0" tIns="32004" rIns="36576" bIns="0" anchor="t" upright="1"/>
        <a:lstStyle/>
        <a:p>
          <a:pPr algn="l" rtl="0">
            <a:defRPr sz="1000"/>
          </a:pPr>
          <a:r>
            <a:rPr lang="en-US" sz="1600" b="1" i="0" u="none" strike="noStrike" baseline="0">
              <a:solidFill>
                <a:srgbClr val="000000"/>
              </a:solidFill>
              <a:latin typeface="Arial"/>
              <a:cs typeface="Arial"/>
            </a:rPr>
            <a:t>Aluminum Sleeve Provides  Air Channels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28576</xdr:colOff>
      <xdr:row>80</xdr:row>
      <xdr:rowOff>19050</xdr:rowOff>
    </xdr:from>
    <xdr:to>
      <xdr:col>12</xdr:col>
      <xdr:colOff>561976</xdr:colOff>
      <xdr:row>86</xdr:row>
      <xdr:rowOff>114300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1857376" y="12973050"/>
          <a:ext cx="6019800" cy="1066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Module</a:t>
          </a:r>
          <a:r>
            <a:rPr lang="en-US" sz="2400" b="1" baseline="0"/>
            <a:t> </a:t>
          </a:r>
          <a:r>
            <a:rPr lang="en-US" sz="2400" b="1" baseline="0">
              <a:solidFill>
                <a:schemeClr val="dk1"/>
              </a:solidFill>
              <a:effectLst/>
              <a:latin typeface="+mn-lt"/>
              <a:ea typeface="+mn-ea"/>
              <a:cs typeface="+mn-cs"/>
            </a:rPr>
            <a:t>Designed for Air Cooling </a:t>
          </a:r>
          <a:r>
            <a:rPr lang="en-US" sz="2400" b="1" baseline="0"/>
            <a:t>with Polymer Container Open on Top and Bottom </a:t>
          </a:r>
        </a:p>
      </xdr:txBody>
    </xdr:sp>
    <xdr:clientData/>
  </xdr:twoCellAnchor>
  <xdr:twoCellAnchor>
    <xdr:from>
      <xdr:col>0</xdr:col>
      <xdr:colOff>257175</xdr:colOff>
      <xdr:row>45</xdr:row>
      <xdr:rowOff>66675</xdr:rowOff>
    </xdr:from>
    <xdr:to>
      <xdr:col>16</xdr:col>
      <xdr:colOff>247650</xdr:colOff>
      <xdr:row>81</xdr:row>
      <xdr:rowOff>85726</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257175" y="7496175"/>
          <a:ext cx="10760075" cy="5962651"/>
          <a:chOff x="257175" y="6867525"/>
          <a:chExt cx="9744075" cy="5848351"/>
        </a:xfrm>
      </xdr:grpSpPr>
      <xdr:sp macro="" textlink="">
        <xdr:nvSpPr>
          <xdr:cNvPr id="4" name="Rectangle 3">
            <a:extLst>
              <a:ext uri="{FF2B5EF4-FFF2-40B4-BE49-F238E27FC236}">
                <a16:creationId xmlns:a16="http://schemas.microsoft.com/office/drawing/2014/main" id="{00000000-0008-0000-1000-000004000000}"/>
              </a:ext>
            </a:extLst>
          </xdr:cNvPr>
          <xdr:cNvSpPr/>
        </xdr:nvSpPr>
        <xdr:spPr>
          <a:xfrm>
            <a:off x="8496300" y="7534276"/>
            <a:ext cx="1228725" cy="4000500"/>
          </a:xfrm>
          <a:prstGeom prst="rect">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 name="Group 4">
            <a:extLst>
              <a:ext uri="{FF2B5EF4-FFF2-40B4-BE49-F238E27FC236}">
                <a16:creationId xmlns:a16="http://schemas.microsoft.com/office/drawing/2014/main" id="{00000000-0008-0000-1000-000005000000}"/>
              </a:ext>
            </a:extLst>
          </xdr:cNvPr>
          <xdr:cNvGrpSpPr/>
        </xdr:nvGrpSpPr>
        <xdr:grpSpPr>
          <a:xfrm>
            <a:off x="257175" y="7162800"/>
            <a:ext cx="7515500" cy="4962525"/>
            <a:chOff x="257175" y="7162800"/>
            <a:chExt cx="7515500" cy="4962525"/>
          </a:xfrm>
        </xdr:grpSpPr>
        <xdr:sp macro="" textlink="">
          <xdr:nvSpPr>
            <xdr:cNvPr id="118" name="Freeform 117">
              <a:extLst>
                <a:ext uri="{FF2B5EF4-FFF2-40B4-BE49-F238E27FC236}">
                  <a16:creationId xmlns:a16="http://schemas.microsoft.com/office/drawing/2014/main" id="{00000000-0008-0000-1000-000076000000}"/>
                </a:ext>
              </a:extLst>
            </xdr:cNvPr>
            <xdr:cNvSpPr/>
          </xdr:nvSpPr>
          <xdr:spPr>
            <a:xfrm>
              <a:off x="2771774" y="7162800"/>
              <a:ext cx="4972051" cy="2200275"/>
            </a:xfrm>
            <a:custGeom>
              <a:avLst/>
              <a:gdLst>
                <a:gd name="connsiteX0" fmla="*/ 0 w 4810125"/>
                <a:gd name="connsiteY0" fmla="*/ 1838325 h 1933575"/>
                <a:gd name="connsiteX1" fmla="*/ 1828800 w 4810125"/>
                <a:gd name="connsiteY1" fmla="*/ 0 h 1933575"/>
                <a:gd name="connsiteX2" fmla="*/ 4810125 w 4810125"/>
                <a:gd name="connsiteY2" fmla="*/ 19050 h 1933575"/>
                <a:gd name="connsiteX3" fmla="*/ 1600200 w 4810125"/>
                <a:gd name="connsiteY3" fmla="*/ 1933575 h 1933575"/>
                <a:gd name="connsiteX4" fmla="*/ 0 w 4810125"/>
                <a:gd name="connsiteY4" fmla="*/ 1838325 h 1933575"/>
                <a:gd name="connsiteX0" fmla="*/ 0 w 4810125"/>
                <a:gd name="connsiteY0" fmla="*/ 1847850 h 1943100"/>
                <a:gd name="connsiteX1" fmla="*/ 1828800 w 4810125"/>
                <a:gd name="connsiteY1" fmla="*/ 9525 h 1943100"/>
                <a:gd name="connsiteX2" fmla="*/ 4810125 w 4810125"/>
                <a:gd name="connsiteY2" fmla="*/ 0 h 1943100"/>
                <a:gd name="connsiteX3" fmla="*/ 1600200 w 4810125"/>
                <a:gd name="connsiteY3" fmla="*/ 1943100 h 1943100"/>
                <a:gd name="connsiteX4" fmla="*/ 0 w 4810125"/>
                <a:gd name="connsiteY4" fmla="*/ 1847850 h 1943100"/>
                <a:gd name="connsiteX0" fmla="*/ 0 w 4810125"/>
                <a:gd name="connsiteY0" fmla="*/ 1847850 h 2200275"/>
                <a:gd name="connsiteX1" fmla="*/ 1828800 w 4810125"/>
                <a:gd name="connsiteY1" fmla="*/ 9525 h 2200275"/>
                <a:gd name="connsiteX2" fmla="*/ 4810125 w 4810125"/>
                <a:gd name="connsiteY2" fmla="*/ 0 h 2200275"/>
                <a:gd name="connsiteX3" fmla="*/ 3343275 w 4810125"/>
                <a:gd name="connsiteY3" fmla="*/ 2200275 h 2200275"/>
                <a:gd name="connsiteX4" fmla="*/ 0 w 4810125"/>
                <a:gd name="connsiteY4" fmla="*/ 1847850 h 2200275"/>
                <a:gd name="connsiteX0" fmla="*/ 0 w 4933950"/>
                <a:gd name="connsiteY0" fmla="*/ 1857375 h 2200275"/>
                <a:gd name="connsiteX1" fmla="*/ 1952625 w 4933950"/>
                <a:gd name="connsiteY1" fmla="*/ 9525 h 2200275"/>
                <a:gd name="connsiteX2" fmla="*/ 4933950 w 4933950"/>
                <a:gd name="connsiteY2" fmla="*/ 0 h 2200275"/>
                <a:gd name="connsiteX3" fmla="*/ 3467100 w 4933950"/>
                <a:gd name="connsiteY3" fmla="*/ 2200275 h 2200275"/>
                <a:gd name="connsiteX4" fmla="*/ 0 w 4933950"/>
                <a:gd name="connsiteY4" fmla="*/ 1857375 h 2200275"/>
                <a:gd name="connsiteX0" fmla="*/ 0 w 4933950"/>
                <a:gd name="connsiteY0" fmla="*/ 1857375 h 2200275"/>
                <a:gd name="connsiteX1" fmla="*/ 1771650 w 4933950"/>
                <a:gd name="connsiteY1" fmla="*/ 0 h 2200275"/>
                <a:gd name="connsiteX2" fmla="*/ 4933950 w 4933950"/>
                <a:gd name="connsiteY2" fmla="*/ 0 h 2200275"/>
                <a:gd name="connsiteX3" fmla="*/ 3467100 w 4933950"/>
                <a:gd name="connsiteY3" fmla="*/ 2200275 h 2200275"/>
                <a:gd name="connsiteX4" fmla="*/ 0 w 4933950"/>
                <a:gd name="connsiteY4" fmla="*/ 1857375 h 2200275"/>
                <a:gd name="connsiteX0" fmla="*/ 0 w 5000625"/>
                <a:gd name="connsiteY0" fmla="*/ 1857375 h 2200275"/>
                <a:gd name="connsiteX1" fmla="*/ 1838325 w 5000625"/>
                <a:gd name="connsiteY1" fmla="*/ 0 h 2200275"/>
                <a:gd name="connsiteX2" fmla="*/ 5000625 w 5000625"/>
                <a:gd name="connsiteY2" fmla="*/ 0 h 2200275"/>
                <a:gd name="connsiteX3" fmla="*/ 3533775 w 5000625"/>
                <a:gd name="connsiteY3" fmla="*/ 2200275 h 2200275"/>
                <a:gd name="connsiteX4" fmla="*/ 0 w 5000625"/>
                <a:gd name="connsiteY4" fmla="*/ 1857375 h 22002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0625" h="2200275">
                  <a:moveTo>
                    <a:pt x="0" y="1857375"/>
                  </a:moveTo>
                  <a:lnTo>
                    <a:pt x="1838325" y="0"/>
                  </a:lnTo>
                  <a:lnTo>
                    <a:pt x="5000625" y="0"/>
                  </a:lnTo>
                  <a:lnTo>
                    <a:pt x="3533775" y="2200275"/>
                  </a:lnTo>
                  <a:lnTo>
                    <a:pt x="0" y="1857375"/>
                  </a:lnTo>
                  <a:close/>
                </a:path>
              </a:pathLst>
            </a:custGeom>
            <a:gradFill flip="none" rotWithShape="1">
              <a:gsLst>
                <a:gs pos="0">
                  <a:schemeClr val="tx2">
                    <a:lumMod val="20000"/>
                    <a:lumOff val="80000"/>
                    <a:shade val="30000"/>
                    <a:satMod val="115000"/>
                  </a:schemeClr>
                </a:gs>
                <a:gs pos="50000">
                  <a:schemeClr val="tx2">
                    <a:lumMod val="20000"/>
                    <a:lumOff val="80000"/>
                    <a:shade val="67500"/>
                    <a:satMod val="115000"/>
                  </a:schemeClr>
                </a:gs>
                <a:gs pos="100000">
                  <a:schemeClr val="tx2">
                    <a:lumMod val="20000"/>
                    <a:lumOff val="80000"/>
                    <a:shade val="100000"/>
                    <a:satMod val="115000"/>
                  </a:schemeClr>
                </a:gs>
              </a:gsLst>
              <a:path path="circle">
                <a:fillToRect l="100000" b="100000"/>
              </a:path>
              <a:tileRect t="-100000" r="-10000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 name="Freeform 118">
              <a:extLst>
                <a:ext uri="{FF2B5EF4-FFF2-40B4-BE49-F238E27FC236}">
                  <a16:creationId xmlns:a16="http://schemas.microsoft.com/office/drawing/2014/main" id="{00000000-0008-0000-1000-000077000000}"/>
                </a:ext>
              </a:extLst>
            </xdr:cNvPr>
            <xdr:cNvSpPr/>
          </xdr:nvSpPr>
          <xdr:spPr>
            <a:xfrm>
              <a:off x="3114761" y="7180107"/>
              <a:ext cx="1796421" cy="1829703"/>
            </a:xfrm>
            <a:custGeom>
              <a:avLst/>
              <a:gdLst>
                <a:gd name="connsiteX0" fmla="*/ 1733550 w 1733550"/>
                <a:gd name="connsiteY0" fmla="*/ 0 h 1800225"/>
                <a:gd name="connsiteX1" fmla="*/ 1733550 w 1733550"/>
                <a:gd name="connsiteY1" fmla="*/ 219075 h 1800225"/>
                <a:gd name="connsiteX2" fmla="*/ 200025 w 1733550"/>
                <a:gd name="connsiteY2" fmla="*/ 1800225 h 1800225"/>
                <a:gd name="connsiteX3" fmla="*/ 0 w 1733550"/>
                <a:gd name="connsiteY3" fmla="*/ 1790700 h 1800225"/>
                <a:gd name="connsiteX4" fmla="*/ 1733550 w 1733550"/>
                <a:gd name="connsiteY4" fmla="*/ 0 h 1800225"/>
                <a:gd name="connsiteX0" fmla="*/ 1746250 w 1746250"/>
                <a:gd name="connsiteY0" fmla="*/ 0 h 1800225"/>
                <a:gd name="connsiteX1" fmla="*/ 1746250 w 1746250"/>
                <a:gd name="connsiteY1" fmla="*/ 219075 h 1800225"/>
                <a:gd name="connsiteX2" fmla="*/ 212725 w 1746250"/>
                <a:gd name="connsiteY2" fmla="*/ 1800225 h 1800225"/>
                <a:gd name="connsiteX3" fmla="*/ 0 w 1746250"/>
                <a:gd name="connsiteY3" fmla="*/ 1790700 h 1800225"/>
                <a:gd name="connsiteX4" fmla="*/ 1746250 w 1746250"/>
                <a:gd name="connsiteY4" fmla="*/ 0 h 1800225"/>
                <a:gd name="connsiteX0" fmla="*/ 1746250 w 1746250"/>
                <a:gd name="connsiteY0" fmla="*/ 0 h 1795964"/>
                <a:gd name="connsiteX1" fmla="*/ 1746250 w 1746250"/>
                <a:gd name="connsiteY1" fmla="*/ 219075 h 1795964"/>
                <a:gd name="connsiteX2" fmla="*/ 221192 w 1746250"/>
                <a:gd name="connsiteY2" fmla="*/ 1795964 h 1795964"/>
                <a:gd name="connsiteX3" fmla="*/ 0 w 1746250"/>
                <a:gd name="connsiteY3" fmla="*/ 1790700 h 1795964"/>
                <a:gd name="connsiteX4" fmla="*/ 1746250 w 1746250"/>
                <a:gd name="connsiteY4" fmla="*/ 0 h 1795964"/>
                <a:gd name="connsiteX0" fmla="*/ 1752056 w 1752056"/>
                <a:gd name="connsiteY0" fmla="*/ 0 h 1845121"/>
                <a:gd name="connsiteX1" fmla="*/ 1746250 w 1752056"/>
                <a:gd name="connsiteY1" fmla="*/ 268232 h 1845121"/>
                <a:gd name="connsiteX2" fmla="*/ 221192 w 1752056"/>
                <a:gd name="connsiteY2" fmla="*/ 1845121 h 1845121"/>
                <a:gd name="connsiteX3" fmla="*/ 0 w 1752056"/>
                <a:gd name="connsiteY3" fmla="*/ 1839857 h 1845121"/>
                <a:gd name="connsiteX4" fmla="*/ 1752056 w 1752056"/>
                <a:gd name="connsiteY4" fmla="*/ 0 h 1845121"/>
                <a:gd name="connsiteX0" fmla="*/ 1752056 w 1752056"/>
                <a:gd name="connsiteY0" fmla="*/ 0 h 1839857"/>
                <a:gd name="connsiteX1" fmla="*/ 1746250 w 1752056"/>
                <a:gd name="connsiteY1" fmla="*/ 268232 h 1839857"/>
                <a:gd name="connsiteX2" fmla="*/ 236822 w 1752056"/>
                <a:gd name="connsiteY2" fmla="*/ 1829454 h 1839857"/>
                <a:gd name="connsiteX3" fmla="*/ 0 w 1752056"/>
                <a:gd name="connsiteY3" fmla="*/ 1839857 h 1839857"/>
                <a:gd name="connsiteX4" fmla="*/ 1752056 w 1752056"/>
                <a:gd name="connsiteY4" fmla="*/ 0 h 1839857"/>
                <a:gd name="connsiteX0" fmla="*/ 1796340 w 1796340"/>
                <a:gd name="connsiteY0" fmla="*/ 0 h 1829454"/>
                <a:gd name="connsiteX1" fmla="*/ 1790534 w 1796340"/>
                <a:gd name="connsiteY1" fmla="*/ 268232 h 1829454"/>
                <a:gd name="connsiteX2" fmla="*/ 281106 w 1796340"/>
                <a:gd name="connsiteY2" fmla="*/ 1829454 h 1829454"/>
                <a:gd name="connsiteX3" fmla="*/ 0 w 1796340"/>
                <a:gd name="connsiteY3" fmla="*/ 1782409 h 1829454"/>
                <a:gd name="connsiteX4" fmla="*/ 1796340 w 1796340"/>
                <a:gd name="connsiteY4" fmla="*/ 0 h 182945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96340" h="1829454">
                  <a:moveTo>
                    <a:pt x="1796340" y="0"/>
                  </a:moveTo>
                  <a:lnTo>
                    <a:pt x="1790534" y="268232"/>
                  </a:lnTo>
                  <a:lnTo>
                    <a:pt x="281106" y="1829454"/>
                  </a:lnTo>
                  <a:lnTo>
                    <a:pt x="0" y="1782409"/>
                  </a:lnTo>
                  <a:lnTo>
                    <a:pt x="1796340" y="0"/>
                  </a:lnTo>
                  <a:close/>
                </a:path>
              </a:pathLst>
            </a:custGeom>
            <a:solidFill>
              <a:schemeClr val="accent5">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0" name="Straight Connector 119">
              <a:extLst>
                <a:ext uri="{FF2B5EF4-FFF2-40B4-BE49-F238E27FC236}">
                  <a16:creationId xmlns:a16="http://schemas.microsoft.com/office/drawing/2014/main" id="{00000000-0008-0000-1000-000078000000}"/>
                </a:ext>
              </a:extLst>
            </xdr:cNvPr>
            <xdr:cNvCxnSpPr>
              <a:stCxn id="118" idx="1"/>
            </xdr:cNvCxnSpPr>
          </xdr:nvCxnSpPr>
          <xdr:spPr>
            <a:xfrm>
              <a:off x="4599595" y="7162800"/>
              <a:ext cx="10505" cy="319617"/>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121" name="Freeform 95">
              <a:extLst>
                <a:ext uri="{FF2B5EF4-FFF2-40B4-BE49-F238E27FC236}">
                  <a16:creationId xmlns:a16="http://schemas.microsoft.com/office/drawing/2014/main" id="{00000000-0008-0000-1000-000079000000}"/>
                </a:ext>
              </a:extLst>
            </xdr:cNvPr>
            <xdr:cNvSpPr>
              <a:spLocks/>
            </xdr:cNvSpPr>
          </xdr:nvSpPr>
          <xdr:spPr bwMode="auto">
            <a:xfrm>
              <a:off x="3367106" y="72818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22" name="Freeform 96">
              <a:extLst>
                <a:ext uri="{FF2B5EF4-FFF2-40B4-BE49-F238E27FC236}">
                  <a16:creationId xmlns:a16="http://schemas.microsoft.com/office/drawing/2014/main" id="{00000000-0008-0000-1000-00007A000000}"/>
                </a:ext>
              </a:extLst>
            </xdr:cNvPr>
            <xdr:cNvSpPr>
              <a:spLocks/>
            </xdr:cNvSpPr>
          </xdr:nvSpPr>
          <xdr:spPr bwMode="auto">
            <a:xfrm>
              <a:off x="3367104" y="72961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nvGrpSpPr>
            <xdr:cNvPr id="123" name="Group 122">
              <a:extLst>
                <a:ext uri="{FF2B5EF4-FFF2-40B4-BE49-F238E27FC236}">
                  <a16:creationId xmlns:a16="http://schemas.microsoft.com/office/drawing/2014/main" id="{00000000-0008-0000-1000-00007B000000}"/>
                </a:ext>
              </a:extLst>
            </xdr:cNvPr>
            <xdr:cNvGrpSpPr/>
          </xdr:nvGrpSpPr>
          <xdr:grpSpPr>
            <a:xfrm>
              <a:off x="3695735" y="7296132"/>
              <a:ext cx="1814534" cy="1776414"/>
              <a:chOff x="2309829" y="6062659"/>
              <a:chExt cx="1814534" cy="1776414"/>
            </a:xfrm>
          </xdr:grpSpPr>
          <xdr:sp macro="" textlink="">
            <xdr:nvSpPr>
              <xdr:cNvPr id="174" name="Freeform 95">
                <a:extLst>
                  <a:ext uri="{FF2B5EF4-FFF2-40B4-BE49-F238E27FC236}">
                    <a16:creationId xmlns:a16="http://schemas.microsoft.com/office/drawing/2014/main" id="{00000000-0008-0000-1000-0000AE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75" name="Freeform 96">
                <a:extLst>
                  <a:ext uri="{FF2B5EF4-FFF2-40B4-BE49-F238E27FC236}">
                    <a16:creationId xmlns:a16="http://schemas.microsoft.com/office/drawing/2014/main" id="{00000000-0008-0000-1000-0000AF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4" name="Group 123">
              <a:extLst>
                <a:ext uri="{FF2B5EF4-FFF2-40B4-BE49-F238E27FC236}">
                  <a16:creationId xmlns:a16="http://schemas.microsoft.com/office/drawing/2014/main" id="{00000000-0008-0000-1000-00007C000000}"/>
                </a:ext>
              </a:extLst>
            </xdr:cNvPr>
            <xdr:cNvGrpSpPr/>
          </xdr:nvGrpSpPr>
          <xdr:grpSpPr>
            <a:xfrm>
              <a:off x="4048143" y="7281859"/>
              <a:ext cx="1814534" cy="1776414"/>
              <a:chOff x="2309829" y="6062659"/>
              <a:chExt cx="1814534" cy="1776414"/>
            </a:xfrm>
          </xdr:grpSpPr>
          <xdr:sp macro="" textlink="">
            <xdr:nvSpPr>
              <xdr:cNvPr id="172" name="Freeform 95">
                <a:extLst>
                  <a:ext uri="{FF2B5EF4-FFF2-40B4-BE49-F238E27FC236}">
                    <a16:creationId xmlns:a16="http://schemas.microsoft.com/office/drawing/2014/main" id="{00000000-0008-0000-1000-0000AC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73" name="Freeform 96">
                <a:extLst>
                  <a:ext uri="{FF2B5EF4-FFF2-40B4-BE49-F238E27FC236}">
                    <a16:creationId xmlns:a16="http://schemas.microsoft.com/office/drawing/2014/main" id="{00000000-0008-0000-1000-0000AD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5" name="Group 124">
              <a:extLst>
                <a:ext uri="{FF2B5EF4-FFF2-40B4-BE49-F238E27FC236}">
                  <a16:creationId xmlns:a16="http://schemas.microsoft.com/office/drawing/2014/main" id="{00000000-0008-0000-1000-00007D000000}"/>
                </a:ext>
              </a:extLst>
            </xdr:cNvPr>
            <xdr:cNvGrpSpPr/>
          </xdr:nvGrpSpPr>
          <xdr:grpSpPr>
            <a:xfrm>
              <a:off x="4376774" y="7296132"/>
              <a:ext cx="1814534" cy="1776414"/>
              <a:chOff x="2309829" y="6062659"/>
              <a:chExt cx="1814534" cy="1776414"/>
            </a:xfrm>
          </xdr:grpSpPr>
          <xdr:sp macro="" textlink="">
            <xdr:nvSpPr>
              <xdr:cNvPr id="170" name="Freeform 95">
                <a:extLst>
                  <a:ext uri="{FF2B5EF4-FFF2-40B4-BE49-F238E27FC236}">
                    <a16:creationId xmlns:a16="http://schemas.microsoft.com/office/drawing/2014/main" id="{00000000-0008-0000-1000-0000AA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71" name="Freeform 96">
                <a:extLst>
                  <a:ext uri="{FF2B5EF4-FFF2-40B4-BE49-F238E27FC236}">
                    <a16:creationId xmlns:a16="http://schemas.microsoft.com/office/drawing/2014/main" id="{00000000-0008-0000-1000-0000AB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6" name="Group 125">
              <a:extLst>
                <a:ext uri="{FF2B5EF4-FFF2-40B4-BE49-F238E27FC236}">
                  <a16:creationId xmlns:a16="http://schemas.microsoft.com/office/drawing/2014/main" id="{00000000-0008-0000-1000-00007E000000}"/>
                </a:ext>
              </a:extLst>
            </xdr:cNvPr>
            <xdr:cNvGrpSpPr/>
          </xdr:nvGrpSpPr>
          <xdr:grpSpPr>
            <a:xfrm>
              <a:off x="4729179" y="7286622"/>
              <a:ext cx="1814534" cy="1776414"/>
              <a:chOff x="2309829" y="6062659"/>
              <a:chExt cx="1814534" cy="1776414"/>
            </a:xfrm>
          </xdr:grpSpPr>
          <xdr:sp macro="" textlink="">
            <xdr:nvSpPr>
              <xdr:cNvPr id="168" name="Freeform 95">
                <a:extLst>
                  <a:ext uri="{FF2B5EF4-FFF2-40B4-BE49-F238E27FC236}">
                    <a16:creationId xmlns:a16="http://schemas.microsoft.com/office/drawing/2014/main" id="{00000000-0008-0000-1000-0000A8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9" name="Freeform 96">
                <a:extLst>
                  <a:ext uri="{FF2B5EF4-FFF2-40B4-BE49-F238E27FC236}">
                    <a16:creationId xmlns:a16="http://schemas.microsoft.com/office/drawing/2014/main" id="{00000000-0008-0000-1000-0000A9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7" name="Group 126">
              <a:extLst>
                <a:ext uri="{FF2B5EF4-FFF2-40B4-BE49-F238E27FC236}">
                  <a16:creationId xmlns:a16="http://schemas.microsoft.com/office/drawing/2014/main" id="{00000000-0008-0000-1000-00007F000000}"/>
                </a:ext>
              </a:extLst>
            </xdr:cNvPr>
            <xdr:cNvGrpSpPr/>
          </xdr:nvGrpSpPr>
          <xdr:grpSpPr>
            <a:xfrm>
              <a:off x="5057810" y="7300895"/>
              <a:ext cx="1814534" cy="1776414"/>
              <a:chOff x="2309829" y="6062659"/>
              <a:chExt cx="1814534" cy="1776414"/>
            </a:xfrm>
          </xdr:grpSpPr>
          <xdr:sp macro="" textlink="">
            <xdr:nvSpPr>
              <xdr:cNvPr id="166" name="Freeform 95">
                <a:extLst>
                  <a:ext uri="{FF2B5EF4-FFF2-40B4-BE49-F238E27FC236}">
                    <a16:creationId xmlns:a16="http://schemas.microsoft.com/office/drawing/2014/main" id="{00000000-0008-0000-1000-0000A6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7" name="Freeform 96">
                <a:extLst>
                  <a:ext uri="{FF2B5EF4-FFF2-40B4-BE49-F238E27FC236}">
                    <a16:creationId xmlns:a16="http://schemas.microsoft.com/office/drawing/2014/main" id="{00000000-0008-0000-1000-0000A7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8" name="Group 127">
              <a:extLst>
                <a:ext uri="{FF2B5EF4-FFF2-40B4-BE49-F238E27FC236}">
                  <a16:creationId xmlns:a16="http://schemas.microsoft.com/office/drawing/2014/main" id="{00000000-0008-0000-1000-000080000000}"/>
                </a:ext>
              </a:extLst>
            </xdr:cNvPr>
            <xdr:cNvGrpSpPr/>
          </xdr:nvGrpSpPr>
          <xdr:grpSpPr>
            <a:xfrm>
              <a:off x="5410218" y="7286622"/>
              <a:ext cx="1814534" cy="1776414"/>
              <a:chOff x="2309829" y="6062659"/>
              <a:chExt cx="1814534" cy="1776414"/>
            </a:xfrm>
          </xdr:grpSpPr>
          <xdr:sp macro="" textlink="">
            <xdr:nvSpPr>
              <xdr:cNvPr id="164" name="Freeform 95">
                <a:extLst>
                  <a:ext uri="{FF2B5EF4-FFF2-40B4-BE49-F238E27FC236}">
                    <a16:creationId xmlns:a16="http://schemas.microsoft.com/office/drawing/2014/main" id="{00000000-0008-0000-1000-0000A4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5" name="Freeform 96">
                <a:extLst>
                  <a:ext uri="{FF2B5EF4-FFF2-40B4-BE49-F238E27FC236}">
                    <a16:creationId xmlns:a16="http://schemas.microsoft.com/office/drawing/2014/main" id="{00000000-0008-0000-1000-0000A5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9" name="Group 128">
              <a:extLst>
                <a:ext uri="{FF2B5EF4-FFF2-40B4-BE49-F238E27FC236}">
                  <a16:creationId xmlns:a16="http://schemas.microsoft.com/office/drawing/2014/main" id="{00000000-0008-0000-1000-000081000000}"/>
                </a:ext>
              </a:extLst>
            </xdr:cNvPr>
            <xdr:cNvGrpSpPr/>
          </xdr:nvGrpSpPr>
          <xdr:grpSpPr>
            <a:xfrm>
              <a:off x="5738849" y="7300895"/>
              <a:ext cx="1814534" cy="1776414"/>
              <a:chOff x="2309829" y="6062659"/>
              <a:chExt cx="1814534" cy="1776414"/>
            </a:xfrm>
          </xdr:grpSpPr>
          <xdr:sp macro="" textlink="">
            <xdr:nvSpPr>
              <xdr:cNvPr id="162" name="Freeform 95">
                <a:extLst>
                  <a:ext uri="{FF2B5EF4-FFF2-40B4-BE49-F238E27FC236}">
                    <a16:creationId xmlns:a16="http://schemas.microsoft.com/office/drawing/2014/main" id="{00000000-0008-0000-1000-0000A2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3" name="Freeform 96">
                <a:extLst>
                  <a:ext uri="{FF2B5EF4-FFF2-40B4-BE49-F238E27FC236}">
                    <a16:creationId xmlns:a16="http://schemas.microsoft.com/office/drawing/2014/main" id="{00000000-0008-0000-1000-0000A3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sp macro="" textlink="">
          <xdr:nvSpPr>
            <xdr:cNvPr id="130" name="Freeform 129">
              <a:extLst>
                <a:ext uri="{FF2B5EF4-FFF2-40B4-BE49-F238E27FC236}">
                  <a16:creationId xmlns:a16="http://schemas.microsoft.com/office/drawing/2014/main" id="{00000000-0008-0000-1000-000082000000}"/>
                </a:ext>
              </a:extLst>
            </xdr:cNvPr>
            <xdr:cNvSpPr/>
          </xdr:nvSpPr>
          <xdr:spPr>
            <a:xfrm>
              <a:off x="2802790" y="7173951"/>
              <a:ext cx="2115801" cy="1843785"/>
            </a:xfrm>
            <a:custGeom>
              <a:avLst/>
              <a:gdLst>
                <a:gd name="connsiteX0" fmla="*/ 1781175 w 2066925"/>
                <a:gd name="connsiteY0" fmla="*/ 0 h 1800225"/>
                <a:gd name="connsiteX1" fmla="*/ 1781175 w 2066925"/>
                <a:gd name="connsiteY1" fmla="*/ 0 h 1800225"/>
                <a:gd name="connsiteX2" fmla="*/ 2066925 w 2066925"/>
                <a:gd name="connsiteY2" fmla="*/ 9525 h 1800225"/>
                <a:gd name="connsiteX3" fmla="*/ 323850 w 2066925"/>
                <a:gd name="connsiteY3" fmla="*/ 1800225 h 1800225"/>
                <a:gd name="connsiteX4" fmla="*/ 0 w 2066925"/>
                <a:gd name="connsiteY4" fmla="*/ 1800225 h 1800225"/>
                <a:gd name="connsiteX5" fmla="*/ 1781175 w 2066925"/>
                <a:gd name="connsiteY5" fmla="*/ 0 h 1800225"/>
                <a:gd name="connsiteX0" fmla="*/ 1781175 w 2083858"/>
                <a:gd name="connsiteY0" fmla="*/ 0 h 1800225"/>
                <a:gd name="connsiteX1" fmla="*/ 1781175 w 2083858"/>
                <a:gd name="connsiteY1" fmla="*/ 0 h 1800225"/>
                <a:gd name="connsiteX2" fmla="*/ 2083858 w 2083858"/>
                <a:gd name="connsiteY2" fmla="*/ 5264 h 1800225"/>
                <a:gd name="connsiteX3" fmla="*/ 323850 w 2083858"/>
                <a:gd name="connsiteY3" fmla="*/ 1800225 h 1800225"/>
                <a:gd name="connsiteX4" fmla="*/ 0 w 2083858"/>
                <a:gd name="connsiteY4" fmla="*/ 1800225 h 1800225"/>
                <a:gd name="connsiteX5" fmla="*/ 1781175 w 2083858"/>
                <a:gd name="connsiteY5" fmla="*/ 0 h 1800225"/>
                <a:gd name="connsiteX0" fmla="*/ 1781175 w 2083858"/>
                <a:gd name="connsiteY0" fmla="*/ 0 h 1814683"/>
                <a:gd name="connsiteX1" fmla="*/ 1781175 w 2083858"/>
                <a:gd name="connsiteY1" fmla="*/ 14458 h 1814683"/>
                <a:gd name="connsiteX2" fmla="*/ 2083858 w 2083858"/>
                <a:gd name="connsiteY2" fmla="*/ 19722 h 1814683"/>
                <a:gd name="connsiteX3" fmla="*/ 323850 w 2083858"/>
                <a:gd name="connsiteY3" fmla="*/ 1814683 h 1814683"/>
                <a:gd name="connsiteX4" fmla="*/ 0 w 2083858"/>
                <a:gd name="connsiteY4" fmla="*/ 1814683 h 1814683"/>
                <a:gd name="connsiteX5" fmla="*/ 1781175 w 2083858"/>
                <a:gd name="connsiteY5" fmla="*/ 0 h 1814683"/>
                <a:gd name="connsiteX0" fmla="*/ 1781175 w 2089663"/>
                <a:gd name="connsiteY0" fmla="*/ 0 h 1814683"/>
                <a:gd name="connsiteX1" fmla="*/ 1781175 w 2089663"/>
                <a:gd name="connsiteY1" fmla="*/ 14458 h 1814683"/>
                <a:gd name="connsiteX2" fmla="*/ 2089663 w 2089663"/>
                <a:gd name="connsiteY2" fmla="*/ 2372 h 1814683"/>
                <a:gd name="connsiteX3" fmla="*/ 323850 w 2089663"/>
                <a:gd name="connsiteY3" fmla="*/ 1814683 h 1814683"/>
                <a:gd name="connsiteX4" fmla="*/ 0 w 2089663"/>
                <a:gd name="connsiteY4" fmla="*/ 1814683 h 1814683"/>
                <a:gd name="connsiteX5" fmla="*/ 1781175 w 2089663"/>
                <a:gd name="connsiteY5" fmla="*/ 0 h 1814683"/>
                <a:gd name="connsiteX0" fmla="*/ 1781175 w 2089663"/>
                <a:gd name="connsiteY0" fmla="*/ 2892 h 1817575"/>
                <a:gd name="connsiteX1" fmla="*/ 1781175 w 2089663"/>
                <a:gd name="connsiteY1" fmla="*/ 0 h 1817575"/>
                <a:gd name="connsiteX2" fmla="*/ 2089663 w 2089663"/>
                <a:gd name="connsiteY2" fmla="*/ 5264 h 1817575"/>
                <a:gd name="connsiteX3" fmla="*/ 323850 w 2089663"/>
                <a:gd name="connsiteY3" fmla="*/ 1817575 h 1817575"/>
                <a:gd name="connsiteX4" fmla="*/ 0 w 2089663"/>
                <a:gd name="connsiteY4" fmla="*/ 1817575 h 1817575"/>
                <a:gd name="connsiteX5" fmla="*/ 1781175 w 2089663"/>
                <a:gd name="connsiteY5" fmla="*/ 2892 h 1817575"/>
                <a:gd name="connsiteX0" fmla="*/ 1792785 w 2101273"/>
                <a:gd name="connsiteY0" fmla="*/ 2892 h 1843600"/>
                <a:gd name="connsiteX1" fmla="*/ 1792785 w 2101273"/>
                <a:gd name="connsiteY1" fmla="*/ 0 h 1843600"/>
                <a:gd name="connsiteX2" fmla="*/ 2101273 w 2101273"/>
                <a:gd name="connsiteY2" fmla="*/ 5264 h 1843600"/>
                <a:gd name="connsiteX3" fmla="*/ 335460 w 2101273"/>
                <a:gd name="connsiteY3" fmla="*/ 1817575 h 1843600"/>
                <a:gd name="connsiteX4" fmla="*/ 0 w 2101273"/>
                <a:gd name="connsiteY4" fmla="*/ 1843600 h 1843600"/>
                <a:gd name="connsiteX5" fmla="*/ 1792785 w 2101273"/>
                <a:gd name="connsiteY5" fmla="*/ 2892 h 1843600"/>
                <a:gd name="connsiteX0" fmla="*/ 1807299 w 2115787"/>
                <a:gd name="connsiteY0" fmla="*/ 2892 h 1843600"/>
                <a:gd name="connsiteX1" fmla="*/ 1807299 w 2115787"/>
                <a:gd name="connsiteY1" fmla="*/ 0 h 1843600"/>
                <a:gd name="connsiteX2" fmla="*/ 2115787 w 2115787"/>
                <a:gd name="connsiteY2" fmla="*/ 5264 h 1843600"/>
                <a:gd name="connsiteX3" fmla="*/ 349974 w 2115787"/>
                <a:gd name="connsiteY3" fmla="*/ 1817575 h 1843600"/>
                <a:gd name="connsiteX4" fmla="*/ 0 w 2115787"/>
                <a:gd name="connsiteY4" fmla="*/ 1843600 h 1843600"/>
                <a:gd name="connsiteX5" fmla="*/ 1807299 w 2115787"/>
                <a:gd name="connsiteY5" fmla="*/ 2892 h 1843600"/>
                <a:gd name="connsiteX0" fmla="*/ 1807299 w 2115787"/>
                <a:gd name="connsiteY0" fmla="*/ 2892 h 1843600"/>
                <a:gd name="connsiteX1" fmla="*/ 1807299 w 2115787"/>
                <a:gd name="connsiteY1" fmla="*/ 0 h 1843600"/>
                <a:gd name="connsiteX2" fmla="*/ 2115787 w 2115787"/>
                <a:gd name="connsiteY2" fmla="*/ 5264 h 1843600"/>
                <a:gd name="connsiteX3" fmla="*/ 355779 w 2115787"/>
                <a:gd name="connsiteY3" fmla="*/ 1832033 h 1843600"/>
                <a:gd name="connsiteX4" fmla="*/ 0 w 2115787"/>
                <a:gd name="connsiteY4" fmla="*/ 1843600 h 1843600"/>
                <a:gd name="connsiteX5" fmla="*/ 1807299 w 2115787"/>
                <a:gd name="connsiteY5" fmla="*/ 2892 h 1843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115787" h="1843600">
                  <a:moveTo>
                    <a:pt x="1807299" y="2892"/>
                  </a:moveTo>
                  <a:lnTo>
                    <a:pt x="1807299" y="0"/>
                  </a:lnTo>
                  <a:cubicBezTo>
                    <a:pt x="1857746" y="877"/>
                    <a:pt x="1887011" y="5264"/>
                    <a:pt x="2115787" y="5264"/>
                  </a:cubicBezTo>
                  <a:lnTo>
                    <a:pt x="355779" y="1832033"/>
                  </a:lnTo>
                  <a:lnTo>
                    <a:pt x="0" y="1843600"/>
                  </a:lnTo>
                  <a:lnTo>
                    <a:pt x="1807299" y="2892"/>
                  </a:lnTo>
                  <a:close/>
                </a:path>
              </a:pathLst>
            </a:custGeom>
            <a:gradFill flip="none" rotWithShape="1">
              <a:gsLst>
                <a:gs pos="0">
                  <a:schemeClr val="accent5">
                    <a:lumMod val="75000"/>
                  </a:schemeClr>
                </a:gs>
                <a:gs pos="50000">
                  <a:schemeClr val="accent5">
                    <a:lumMod val="60000"/>
                    <a:lumOff val="40000"/>
                  </a:schemeClr>
                </a:gs>
                <a:gs pos="100000">
                  <a:schemeClr val="accent5">
                    <a:lumMod val="40000"/>
                    <a:lumOff val="60000"/>
                  </a:schemeClr>
                </a:gs>
              </a:gsLst>
              <a:lin ang="0" scaled="1"/>
              <a:tileRect/>
            </a:gra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1" name="AutoShape 249">
              <a:extLst>
                <a:ext uri="{FF2B5EF4-FFF2-40B4-BE49-F238E27FC236}">
                  <a16:creationId xmlns:a16="http://schemas.microsoft.com/office/drawing/2014/main" id="{00000000-0008-0000-1000-000083000000}"/>
                </a:ext>
              </a:extLst>
            </xdr:cNvPr>
            <xdr:cNvSpPr>
              <a:spLocks/>
            </xdr:cNvSpPr>
          </xdr:nvSpPr>
          <xdr:spPr bwMode="auto">
            <a:xfrm>
              <a:off x="962025" y="7315200"/>
              <a:ext cx="2381250" cy="733425"/>
            </a:xfrm>
            <a:prstGeom prst="callout2">
              <a:avLst>
                <a:gd name="adj1" fmla="val 18180"/>
                <a:gd name="adj2" fmla="val 103766"/>
                <a:gd name="adj3" fmla="val 19480"/>
                <a:gd name="adj4" fmla="val 115063"/>
                <a:gd name="adj5" fmla="val 64935"/>
                <a:gd name="adj6" fmla="val 133252"/>
              </a:avLst>
            </a:prstGeom>
            <a:solidFill>
              <a:srgbClr val="FFFFFF"/>
            </a:solidFill>
            <a:ln w="9525">
              <a:solidFill>
                <a:srgbClr val="000000"/>
              </a:solidFill>
              <a:miter lim="800000"/>
              <a:headEnd/>
              <a:tailEnd type="triangle" w="lg" len="lg"/>
            </a:ln>
          </xdr:spPr>
          <xdr:txBody>
            <a:bodyPr vertOverflow="clip" wrap="square" lIns="45720" tIns="41148" rIns="0" bIns="0" anchor="t" upright="1"/>
            <a:lstStyle/>
            <a:p>
              <a:pPr algn="r" rtl="0">
                <a:defRPr sz="1000"/>
              </a:pPr>
              <a:r>
                <a:rPr lang="en-US" sz="2000" b="1" i="0" u="none" strike="noStrike" baseline="0">
                  <a:solidFill>
                    <a:srgbClr val="000000"/>
                  </a:solidFill>
                  <a:latin typeface="Arial"/>
                  <a:cs typeface="Arial"/>
                </a:rPr>
                <a:t>Cell State-of-Charge Controller</a:t>
              </a:r>
            </a:p>
          </xdr:txBody>
        </xdr:sp>
        <xdr:sp macro="" textlink="">
          <xdr:nvSpPr>
            <xdr:cNvPr id="132" name="Freeform 131">
              <a:extLst>
                <a:ext uri="{FF2B5EF4-FFF2-40B4-BE49-F238E27FC236}">
                  <a16:creationId xmlns:a16="http://schemas.microsoft.com/office/drawing/2014/main" id="{00000000-0008-0000-1000-000084000000}"/>
                </a:ext>
              </a:extLst>
            </xdr:cNvPr>
            <xdr:cNvSpPr/>
          </xdr:nvSpPr>
          <xdr:spPr>
            <a:xfrm>
              <a:off x="4363490" y="7174838"/>
              <a:ext cx="3369871" cy="253129"/>
            </a:xfrm>
            <a:custGeom>
              <a:avLst/>
              <a:gdLst>
                <a:gd name="connsiteX0" fmla="*/ 277455 w 512005"/>
                <a:gd name="connsiteY0" fmla="*/ 0 h 291756"/>
                <a:gd name="connsiteX1" fmla="*/ 512005 w 512005"/>
                <a:gd name="connsiteY1" fmla="*/ 2860 h 291756"/>
                <a:gd name="connsiteX2" fmla="*/ 225969 w 512005"/>
                <a:gd name="connsiteY2" fmla="*/ 291756 h 291756"/>
                <a:gd name="connsiteX3" fmla="*/ 0 w 512005"/>
                <a:gd name="connsiteY3" fmla="*/ 291756 h 291756"/>
                <a:gd name="connsiteX4" fmla="*/ 277455 w 512005"/>
                <a:gd name="connsiteY4" fmla="*/ 0 h 291756"/>
                <a:gd name="connsiteX0" fmla="*/ 277455 w 2977324"/>
                <a:gd name="connsiteY0" fmla="*/ 0 h 291756"/>
                <a:gd name="connsiteX1" fmla="*/ 2977324 w 2977324"/>
                <a:gd name="connsiteY1" fmla="*/ 2860 h 291756"/>
                <a:gd name="connsiteX2" fmla="*/ 225969 w 2977324"/>
                <a:gd name="connsiteY2" fmla="*/ 291756 h 291756"/>
                <a:gd name="connsiteX3" fmla="*/ 0 w 2977324"/>
                <a:gd name="connsiteY3" fmla="*/ 291756 h 291756"/>
                <a:gd name="connsiteX4" fmla="*/ 277455 w 2977324"/>
                <a:gd name="connsiteY4" fmla="*/ 0 h 291756"/>
                <a:gd name="connsiteX0" fmla="*/ 277455 w 2977324"/>
                <a:gd name="connsiteY0" fmla="*/ 0 h 291756"/>
                <a:gd name="connsiteX1" fmla="*/ 2977324 w 2977324"/>
                <a:gd name="connsiteY1" fmla="*/ 2860 h 291756"/>
                <a:gd name="connsiteX2" fmla="*/ 2729363 w 2977324"/>
                <a:gd name="connsiteY2" fmla="*/ 234242 h 291756"/>
                <a:gd name="connsiteX3" fmla="*/ 0 w 2977324"/>
                <a:gd name="connsiteY3" fmla="*/ 291756 h 291756"/>
                <a:gd name="connsiteX4" fmla="*/ 277455 w 2977324"/>
                <a:gd name="connsiteY4" fmla="*/ 0 h 291756"/>
                <a:gd name="connsiteX0" fmla="*/ 239381 w 2939250"/>
                <a:gd name="connsiteY0" fmla="*/ 0 h 234242"/>
                <a:gd name="connsiteX1" fmla="*/ 2939250 w 2939250"/>
                <a:gd name="connsiteY1" fmla="*/ 2860 h 234242"/>
                <a:gd name="connsiteX2" fmla="*/ 2691289 w 2939250"/>
                <a:gd name="connsiteY2" fmla="*/ 234242 h 234242"/>
                <a:gd name="connsiteX3" fmla="*/ 0 w 2939250"/>
                <a:gd name="connsiteY3" fmla="*/ 224657 h 234242"/>
                <a:gd name="connsiteX4" fmla="*/ 239381 w 2939250"/>
                <a:gd name="connsiteY4" fmla="*/ 0 h 234242"/>
                <a:gd name="connsiteX0" fmla="*/ 140751 w 2939250"/>
                <a:gd name="connsiteY0" fmla="*/ 0 h 251725"/>
                <a:gd name="connsiteX1" fmla="*/ 2939250 w 2939250"/>
                <a:gd name="connsiteY1" fmla="*/ 20343 h 251725"/>
                <a:gd name="connsiteX2" fmla="*/ 2691289 w 2939250"/>
                <a:gd name="connsiteY2" fmla="*/ 251725 h 251725"/>
                <a:gd name="connsiteX3" fmla="*/ 0 w 2939250"/>
                <a:gd name="connsiteY3" fmla="*/ 242140 h 251725"/>
                <a:gd name="connsiteX4" fmla="*/ 140751 w 2939250"/>
                <a:gd name="connsiteY4" fmla="*/ 0 h 251725"/>
                <a:gd name="connsiteX0" fmla="*/ 219074 w 3017573"/>
                <a:gd name="connsiteY0" fmla="*/ 0 h 251725"/>
                <a:gd name="connsiteX1" fmla="*/ 3017573 w 3017573"/>
                <a:gd name="connsiteY1" fmla="*/ 20343 h 251725"/>
                <a:gd name="connsiteX2" fmla="*/ 2769612 w 3017573"/>
                <a:gd name="connsiteY2" fmla="*/ 251725 h 251725"/>
                <a:gd name="connsiteX3" fmla="*/ 0 w 3017573"/>
                <a:gd name="connsiteY3" fmla="*/ 242140 h 251725"/>
                <a:gd name="connsiteX4" fmla="*/ 219074 w 3017573"/>
                <a:gd name="connsiteY4" fmla="*/ 0 h 251725"/>
                <a:gd name="connsiteX0" fmla="*/ 221975 w 3017573"/>
                <a:gd name="connsiteY0" fmla="*/ 0 h 248811"/>
                <a:gd name="connsiteX1" fmla="*/ 3017573 w 3017573"/>
                <a:gd name="connsiteY1" fmla="*/ 17429 h 248811"/>
                <a:gd name="connsiteX2" fmla="*/ 2769612 w 3017573"/>
                <a:gd name="connsiteY2" fmla="*/ 248811 h 248811"/>
                <a:gd name="connsiteX3" fmla="*/ 0 w 3017573"/>
                <a:gd name="connsiteY3" fmla="*/ 239226 h 248811"/>
                <a:gd name="connsiteX4" fmla="*/ 221975 w 3017573"/>
                <a:gd name="connsiteY4" fmla="*/ 0 h 248811"/>
                <a:gd name="connsiteX0" fmla="*/ 97238 w 2892836"/>
                <a:gd name="connsiteY0" fmla="*/ 0 h 248811"/>
                <a:gd name="connsiteX1" fmla="*/ 2892836 w 2892836"/>
                <a:gd name="connsiteY1" fmla="*/ 17429 h 248811"/>
                <a:gd name="connsiteX2" fmla="*/ 2644875 w 2892836"/>
                <a:gd name="connsiteY2" fmla="*/ 248811 h 248811"/>
                <a:gd name="connsiteX3" fmla="*/ 0 w 2892836"/>
                <a:gd name="connsiteY3" fmla="*/ 242140 h 248811"/>
                <a:gd name="connsiteX4" fmla="*/ 97238 w 2892836"/>
                <a:gd name="connsiteY4" fmla="*/ 0 h 248811"/>
                <a:gd name="connsiteX0" fmla="*/ 224876 w 2892836"/>
                <a:gd name="connsiteY0" fmla="*/ 2967 h 231382"/>
                <a:gd name="connsiteX1" fmla="*/ 2892836 w 2892836"/>
                <a:gd name="connsiteY1" fmla="*/ 0 h 231382"/>
                <a:gd name="connsiteX2" fmla="*/ 2644875 w 2892836"/>
                <a:gd name="connsiteY2" fmla="*/ 231382 h 231382"/>
                <a:gd name="connsiteX3" fmla="*/ 0 w 2892836"/>
                <a:gd name="connsiteY3" fmla="*/ 224711 h 231382"/>
                <a:gd name="connsiteX4" fmla="*/ 224876 w 2892836"/>
                <a:gd name="connsiteY4" fmla="*/ 2967 h 231382"/>
                <a:gd name="connsiteX0" fmla="*/ 233579 w 2892836"/>
                <a:gd name="connsiteY0" fmla="*/ 0 h 245898"/>
                <a:gd name="connsiteX1" fmla="*/ 2892836 w 2892836"/>
                <a:gd name="connsiteY1" fmla="*/ 14516 h 245898"/>
                <a:gd name="connsiteX2" fmla="*/ 2644875 w 2892836"/>
                <a:gd name="connsiteY2" fmla="*/ 245898 h 245898"/>
                <a:gd name="connsiteX3" fmla="*/ 0 w 2892836"/>
                <a:gd name="connsiteY3" fmla="*/ 239227 h 245898"/>
                <a:gd name="connsiteX4" fmla="*/ 233579 w 2892836"/>
                <a:gd name="connsiteY4" fmla="*/ 0 h 245898"/>
                <a:gd name="connsiteX0" fmla="*/ 233579 w 2898638"/>
                <a:gd name="connsiteY0" fmla="*/ 11708 h 257606"/>
                <a:gd name="connsiteX1" fmla="*/ 2898638 w 2898638"/>
                <a:gd name="connsiteY1" fmla="*/ 0 h 257606"/>
                <a:gd name="connsiteX2" fmla="*/ 2644875 w 2898638"/>
                <a:gd name="connsiteY2" fmla="*/ 257606 h 257606"/>
                <a:gd name="connsiteX3" fmla="*/ 0 w 2898638"/>
                <a:gd name="connsiteY3" fmla="*/ 250935 h 257606"/>
                <a:gd name="connsiteX4" fmla="*/ 233579 w 2898638"/>
                <a:gd name="connsiteY4" fmla="*/ 11708 h 257606"/>
                <a:gd name="connsiteX0" fmla="*/ 233579 w 2907341"/>
                <a:gd name="connsiteY0" fmla="*/ 5880 h 251778"/>
                <a:gd name="connsiteX1" fmla="*/ 2907341 w 2907341"/>
                <a:gd name="connsiteY1" fmla="*/ 0 h 251778"/>
                <a:gd name="connsiteX2" fmla="*/ 2644875 w 2907341"/>
                <a:gd name="connsiteY2" fmla="*/ 251778 h 251778"/>
                <a:gd name="connsiteX3" fmla="*/ 0 w 2907341"/>
                <a:gd name="connsiteY3" fmla="*/ 245107 h 251778"/>
                <a:gd name="connsiteX4" fmla="*/ 233579 w 2907341"/>
                <a:gd name="connsiteY4" fmla="*/ 5880 h 251778"/>
                <a:gd name="connsiteX0" fmla="*/ 233579 w 2907341"/>
                <a:gd name="connsiteY0" fmla="*/ 5880 h 251778"/>
                <a:gd name="connsiteX1" fmla="*/ 2907341 w 2907341"/>
                <a:gd name="connsiteY1" fmla="*/ 0 h 251778"/>
                <a:gd name="connsiteX2" fmla="*/ 2673884 w 2907341"/>
                <a:gd name="connsiteY2" fmla="*/ 251778 h 251778"/>
                <a:gd name="connsiteX3" fmla="*/ 0 w 2907341"/>
                <a:gd name="connsiteY3" fmla="*/ 245107 h 251778"/>
                <a:gd name="connsiteX4" fmla="*/ 233579 w 2907341"/>
                <a:gd name="connsiteY4" fmla="*/ 5880 h 251778"/>
                <a:gd name="connsiteX0" fmla="*/ 0 w 3111620"/>
                <a:gd name="connsiteY0" fmla="*/ 5880 h 251778"/>
                <a:gd name="connsiteX1" fmla="*/ 3111620 w 3111620"/>
                <a:gd name="connsiteY1" fmla="*/ 0 h 251778"/>
                <a:gd name="connsiteX2" fmla="*/ 2878163 w 3111620"/>
                <a:gd name="connsiteY2" fmla="*/ 251778 h 251778"/>
                <a:gd name="connsiteX3" fmla="*/ 204279 w 3111620"/>
                <a:gd name="connsiteY3" fmla="*/ 245107 h 251778"/>
                <a:gd name="connsiteX4" fmla="*/ 0 w 3111620"/>
                <a:gd name="connsiteY4" fmla="*/ 5880 h 251778"/>
                <a:gd name="connsiteX0" fmla="*/ 252616 w 3364236"/>
                <a:gd name="connsiteY0" fmla="*/ 5880 h 251778"/>
                <a:gd name="connsiteX1" fmla="*/ 3364236 w 3364236"/>
                <a:gd name="connsiteY1" fmla="*/ 0 h 251778"/>
                <a:gd name="connsiteX2" fmla="*/ 3130779 w 3364236"/>
                <a:gd name="connsiteY2" fmla="*/ 251778 h 251778"/>
                <a:gd name="connsiteX3" fmla="*/ 0 w 3364236"/>
                <a:gd name="connsiteY3" fmla="*/ 245107 h 251778"/>
                <a:gd name="connsiteX4" fmla="*/ 252616 w 3364236"/>
                <a:gd name="connsiteY4" fmla="*/ 5880 h 251778"/>
                <a:gd name="connsiteX0" fmla="*/ 252616 w 3367621"/>
                <a:gd name="connsiteY0" fmla="*/ 0 h 245898"/>
                <a:gd name="connsiteX1" fmla="*/ 3367621 w 3367621"/>
                <a:gd name="connsiteY1" fmla="*/ 685 h 245898"/>
                <a:gd name="connsiteX2" fmla="*/ 3130779 w 3367621"/>
                <a:gd name="connsiteY2" fmla="*/ 245898 h 245898"/>
                <a:gd name="connsiteX3" fmla="*/ 0 w 3367621"/>
                <a:gd name="connsiteY3" fmla="*/ 239227 h 245898"/>
                <a:gd name="connsiteX4" fmla="*/ 252616 w 3367621"/>
                <a:gd name="connsiteY4" fmla="*/ 0 h 24589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67621" h="245898">
                  <a:moveTo>
                    <a:pt x="252616" y="0"/>
                  </a:moveTo>
                  <a:lnTo>
                    <a:pt x="3367621" y="685"/>
                  </a:lnTo>
                  <a:lnTo>
                    <a:pt x="3130779" y="245898"/>
                  </a:lnTo>
                  <a:lnTo>
                    <a:pt x="0" y="239227"/>
                  </a:lnTo>
                  <a:lnTo>
                    <a:pt x="252616" y="0"/>
                  </a:lnTo>
                  <a:close/>
                </a:path>
              </a:pathLst>
            </a:custGeom>
            <a:solidFill>
              <a:schemeClr val="bg2">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3" name="Freeform 132">
              <a:extLst>
                <a:ext uri="{FF2B5EF4-FFF2-40B4-BE49-F238E27FC236}">
                  <a16:creationId xmlns:a16="http://schemas.microsoft.com/office/drawing/2014/main" id="{00000000-0008-0000-1000-000085000000}"/>
                </a:ext>
              </a:extLst>
            </xdr:cNvPr>
            <xdr:cNvSpPr/>
          </xdr:nvSpPr>
          <xdr:spPr>
            <a:xfrm>
              <a:off x="2816712" y="8780019"/>
              <a:ext cx="3403113" cy="243458"/>
            </a:xfrm>
            <a:custGeom>
              <a:avLst/>
              <a:gdLst>
                <a:gd name="connsiteX0" fmla="*/ 277455 w 512005"/>
                <a:gd name="connsiteY0" fmla="*/ 0 h 291756"/>
                <a:gd name="connsiteX1" fmla="*/ 512005 w 512005"/>
                <a:gd name="connsiteY1" fmla="*/ 2860 h 291756"/>
                <a:gd name="connsiteX2" fmla="*/ 225969 w 512005"/>
                <a:gd name="connsiteY2" fmla="*/ 291756 h 291756"/>
                <a:gd name="connsiteX3" fmla="*/ 0 w 512005"/>
                <a:gd name="connsiteY3" fmla="*/ 291756 h 291756"/>
                <a:gd name="connsiteX4" fmla="*/ 277455 w 512005"/>
                <a:gd name="connsiteY4" fmla="*/ 0 h 291756"/>
                <a:gd name="connsiteX0" fmla="*/ 277455 w 2977324"/>
                <a:gd name="connsiteY0" fmla="*/ 0 h 291756"/>
                <a:gd name="connsiteX1" fmla="*/ 2977324 w 2977324"/>
                <a:gd name="connsiteY1" fmla="*/ 2860 h 291756"/>
                <a:gd name="connsiteX2" fmla="*/ 225969 w 2977324"/>
                <a:gd name="connsiteY2" fmla="*/ 291756 h 291756"/>
                <a:gd name="connsiteX3" fmla="*/ 0 w 2977324"/>
                <a:gd name="connsiteY3" fmla="*/ 291756 h 291756"/>
                <a:gd name="connsiteX4" fmla="*/ 277455 w 2977324"/>
                <a:gd name="connsiteY4" fmla="*/ 0 h 291756"/>
                <a:gd name="connsiteX0" fmla="*/ 277455 w 2977324"/>
                <a:gd name="connsiteY0" fmla="*/ 0 h 291756"/>
                <a:gd name="connsiteX1" fmla="*/ 2977324 w 2977324"/>
                <a:gd name="connsiteY1" fmla="*/ 2860 h 291756"/>
                <a:gd name="connsiteX2" fmla="*/ 2729363 w 2977324"/>
                <a:gd name="connsiteY2" fmla="*/ 234242 h 291756"/>
                <a:gd name="connsiteX3" fmla="*/ 0 w 2977324"/>
                <a:gd name="connsiteY3" fmla="*/ 291756 h 291756"/>
                <a:gd name="connsiteX4" fmla="*/ 277455 w 2977324"/>
                <a:gd name="connsiteY4" fmla="*/ 0 h 291756"/>
                <a:gd name="connsiteX0" fmla="*/ 239381 w 2939250"/>
                <a:gd name="connsiteY0" fmla="*/ 0 h 234242"/>
                <a:gd name="connsiteX1" fmla="*/ 2939250 w 2939250"/>
                <a:gd name="connsiteY1" fmla="*/ 2860 h 234242"/>
                <a:gd name="connsiteX2" fmla="*/ 2691289 w 2939250"/>
                <a:gd name="connsiteY2" fmla="*/ 234242 h 234242"/>
                <a:gd name="connsiteX3" fmla="*/ 0 w 2939250"/>
                <a:gd name="connsiteY3" fmla="*/ 224657 h 234242"/>
                <a:gd name="connsiteX4" fmla="*/ 239381 w 2939250"/>
                <a:gd name="connsiteY4" fmla="*/ 0 h 234242"/>
                <a:gd name="connsiteX0" fmla="*/ 140751 w 2939250"/>
                <a:gd name="connsiteY0" fmla="*/ 0 h 251725"/>
                <a:gd name="connsiteX1" fmla="*/ 2939250 w 2939250"/>
                <a:gd name="connsiteY1" fmla="*/ 20343 h 251725"/>
                <a:gd name="connsiteX2" fmla="*/ 2691289 w 2939250"/>
                <a:gd name="connsiteY2" fmla="*/ 251725 h 251725"/>
                <a:gd name="connsiteX3" fmla="*/ 0 w 2939250"/>
                <a:gd name="connsiteY3" fmla="*/ 242140 h 251725"/>
                <a:gd name="connsiteX4" fmla="*/ 140751 w 2939250"/>
                <a:gd name="connsiteY4" fmla="*/ 0 h 251725"/>
                <a:gd name="connsiteX0" fmla="*/ 219074 w 3017573"/>
                <a:gd name="connsiteY0" fmla="*/ 0 h 251725"/>
                <a:gd name="connsiteX1" fmla="*/ 3017573 w 3017573"/>
                <a:gd name="connsiteY1" fmla="*/ 20343 h 251725"/>
                <a:gd name="connsiteX2" fmla="*/ 2769612 w 3017573"/>
                <a:gd name="connsiteY2" fmla="*/ 251725 h 251725"/>
                <a:gd name="connsiteX3" fmla="*/ 0 w 3017573"/>
                <a:gd name="connsiteY3" fmla="*/ 242140 h 251725"/>
                <a:gd name="connsiteX4" fmla="*/ 219074 w 3017573"/>
                <a:gd name="connsiteY4" fmla="*/ 0 h 251725"/>
                <a:gd name="connsiteX0" fmla="*/ 221975 w 3017573"/>
                <a:gd name="connsiteY0" fmla="*/ 0 h 248811"/>
                <a:gd name="connsiteX1" fmla="*/ 3017573 w 3017573"/>
                <a:gd name="connsiteY1" fmla="*/ 17429 h 248811"/>
                <a:gd name="connsiteX2" fmla="*/ 2769612 w 3017573"/>
                <a:gd name="connsiteY2" fmla="*/ 248811 h 248811"/>
                <a:gd name="connsiteX3" fmla="*/ 0 w 3017573"/>
                <a:gd name="connsiteY3" fmla="*/ 239226 h 248811"/>
                <a:gd name="connsiteX4" fmla="*/ 221975 w 3017573"/>
                <a:gd name="connsiteY4" fmla="*/ 0 h 248811"/>
                <a:gd name="connsiteX0" fmla="*/ 97238 w 2892836"/>
                <a:gd name="connsiteY0" fmla="*/ 0 h 248811"/>
                <a:gd name="connsiteX1" fmla="*/ 2892836 w 2892836"/>
                <a:gd name="connsiteY1" fmla="*/ 17429 h 248811"/>
                <a:gd name="connsiteX2" fmla="*/ 2644875 w 2892836"/>
                <a:gd name="connsiteY2" fmla="*/ 248811 h 248811"/>
                <a:gd name="connsiteX3" fmla="*/ 0 w 2892836"/>
                <a:gd name="connsiteY3" fmla="*/ 242140 h 248811"/>
                <a:gd name="connsiteX4" fmla="*/ 97238 w 2892836"/>
                <a:gd name="connsiteY4" fmla="*/ 0 h 248811"/>
                <a:gd name="connsiteX0" fmla="*/ 224876 w 2892836"/>
                <a:gd name="connsiteY0" fmla="*/ 2967 h 231382"/>
                <a:gd name="connsiteX1" fmla="*/ 2892836 w 2892836"/>
                <a:gd name="connsiteY1" fmla="*/ 0 h 231382"/>
                <a:gd name="connsiteX2" fmla="*/ 2644875 w 2892836"/>
                <a:gd name="connsiteY2" fmla="*/ 231382 h 231382"/>
                <a:gd name="connsiteX3" fmla="*/ 0 w 2892836"/>
                <a:gd name="connsiteY3" fmla="*/ 224711 h 231382"/>
                <a:gd name="connsiteX4" fmla="*/ 224876 w 2892836"/>
                <a:gd name="connsiteY4" fmla="*/ 2967 h 231382"/>
                <a:gd name="connsiteX0" fmla="*/ 233579 w 2892836"/>
                <a:gd name="connsiteY0" fmla="*/ 0 h 245898"/>
                <a:gd name="connsiteX1" fmla="*/ 2892836 w 2892836"/>
                <a:gd name="connsiteY1" fmla="*/ 14516 h 245898"/>
                <a:gd name="connsiteX2" fmla="*/ 2644875 w 2892836"/>
                <a:gd name="connsiteY2" fmla="*/ 245898 h 245898"/>
                <a:gd name="connsiteX3" fmla="*/ 0 w 2892836"/>
                <a:gd name="connsiteY3" fmla="*/ 239227 h 245898"/>
                <a:gd name="connsiteX4" fmla="*/ 233579 w 2892836"/>
                <a:gd name="connsiteY4" fmla="*/ 0 h 245898"/>
                <a:gd name="connsiteX0" fmla="*/ 233579 w 2898638"/>
                <a:gd name="connsiteY0" fmla="*/ 11708 h 257606"/>
                <a:gd name="connsiteX1" fmla="*/ 2898638 w 2898638"/>
                <a:gd name="connsiteY1" fmla="*/ 0 h 257606"/>
                <a:gd name="connsiteX2" fmla="*/ 2644875 w 2898638"/>
                <a:gd name="connsiteY2" fmla="*/ 257606 h 257606"/>
                <a:gd name="connsiteX3" fmla="*/ 0 w 2898638"/>
                <a:gd name="connsiteY3" fmla="*/ 250935 h 257606"/>
                <a:gd name="connsiteX4" fmla="*/ 233579 w 2898638"/>
                <a:gd name="connsiteY4" fmla="*/ 11708 h 257606"/>
                <a:gd name="connsiteX0" fmla="*/ 233579 w 2907341"/>
                <a:gd name="connsiteY0" fmla="*/ 5880 h 251778"/>
                <a:gd name="connsiteX1" fmla="*/ 2907341 w 2907341"/>
                <a:gd name="connsiteY1" fmla="*/ 0 h 251778"/>
                <a:gd name="connsiteX2" fmla="*/ 2644875 w 2907341"/>
                <a:gd name="connsiteY2" fmla="*/ 251778 h 251778"/>
                <a:gd name="connsiteX3" fmla="*/ 0 w 2907341"/>
                <a:gd name="connsiteY3" fmla="*/ 245107 h 251778"/>
                <a:gd name="connsiteX4" fmla="*/ 233579 w 2907341"/>
                <a:gd name="connsiteY4" fmla="*/ 5880 h 251778"/>
                <a:gd name="connsiteX0" fmla="*/ 233579 w 2907341"/>
                <a:gd name="connsiteY0" fmla="*/ 5880 h 251778"/>
                <a:gd name="connsiteX1" fmla="*/ 2907341 w 2907341"/>
                <a:gd name="connsiteY1" fmla="*/ 0 h 251778"/>
                <a:gd name="connsiteX2" fmla="*/ 2673884 w 2907341"/>
                <a:gd name="connsiteY2" fmla="*/ 251778 h 251778"/>
                <a:gd name="connsiteX3" fmla="*/ 0 w 2907341"/>
                <a:gd name="connsiteY3" fmla="*/ 245107 h 251778"/>
                <a:gd name="connsiteX4" fmla="*/ 233579 w 2907341"/>
                <a:gd name="connsiteY4" fmla="*/ 5880 h 251778"/>
                <a:gd name="connsiteX0" fmla="*/ 0 w 3132856"/>
                <a:gd name="connsiteY0" fmla="*/ 5880 h 251778"/>
                <a:gd name="connsiteX1" fmla="*/ 3132856 w 3132856"/>
                <a:gd name="connsiteY1" fmla="*/ 0 h 251778"/>
                <a:gd name="connsiteX2" fmla="*/ 2899399 w 3132856"/>
                <a:gd name="connsiteY2" fmla="*/ 251778 h 251778"/>
                <a:gd name="connsiteX3" fmla="*/ 225515 w 3132856"/>
                <a:gd name="connsiteY3" fmla="*/ 245107 h 251778"/>
                <a:gd name="connsiteX4" fmla="*/ 0 w 3132856"/>
                <a:gd name="connsiteY4" fmla="*/ 5880 h 251778"/>
                <a:gd name="connsiteX0" fmla="*/ 210291 w 3343147"/>
                <a:gd name="connsiteY0" fmla="*/ 5880 h 251778"/>
                <a:gd name="connsiteX1" fmla="*/ 3343147 w 3343147"/>
                <a:gd name="connsiteY1" fmla="*/ 0 h 251778"/>
                <a:gd name="connsiteX2" fmla="*/ 3109690 w 3343147"/>
                <a:gd name="connsiteY2" fmla="*/ 251778 h 251778"/>
                <a:gd name="connsiteX3" fmla="*/ 0 w 3343147"/>
                <a:gd name="connsiteY3" fmla="*/ 231507 h 251778"/>
                <a:gd name="connsiteX4" fmla="*/ 210291 w 3343147"/>
                <a:gd name="connsiteY4" fmla="*/ 5880 h 251778"/>
                <a:gd name="connsiteX0" fmla="*/ 210291 w 3343147"/>
                <a:gd name="connsiteY0" fmla="*/ 5880 h 244977"/>
                <a:gd name="connsiteX1" fmla="*/ 3343147 w 3343147"/>
                <a:gd name="connsiteY1" fmla="*/ 0 h 244977"/>
                <a:gd name="connsiteX2" fmla="*/ 3099709 w 3343147"/>
                <a:gd name="connsiteY2" fmla="*/ 244977 h 244977"/>
                <a:gd name="connsiteX3" fmla="*/ 0 w 3343147"/>
                <a:gd name="connsiteY3" fmla="*/ 231507 h 244977"/>
                <a:gd name="connsiteX4" fmla="*/ 210291 w 3343147"/>
                <a:gd name="connsiteY4" fmla="*/ 5880 h 24497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43147" h="244977">
                  <a:moveTo>
                    <a:pt x="210291" y="5880"/>
                  </a:moveTo>
                  <a:lnTo>
                    <a:pt x="3343147" y="0"/>
                  </a:lnTo>
                  <a:lnTo>
                    <a:pt x="3099709" y="244977"/>
                  </a:lnTo>
                  <a:lnTo>
                    <a:pt x="0" y="231507"/>
                  </a:lnTo>
                  <a:lnTo>
                    <a:pt x="210291" y="5880"/>
                  </a:lnTo>
                  <a:close/>
                </a:path>
              </a:pathLst>
            </a:custGeom>
            <a:solidFill>
              <a:schemeClr val="bg2">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4" name="Rectangle 133">
              <a:extLst>
                <a:ext uri="{FF2B5EF4-FFF2-40B4-BE49-F238E27FC236}">
                  <a16:creationId xmlns:a16="http://schemas.microsoft.com/office/drawing/2014/main" id="{00000000-0008-0000-1000-000086000000}"/>
                </a:ext>
              </a:extLst>
            </xdr:cNvPr>
            <xdr:cNvSpPr/>
          </xdr:nvSpPr>
          <xdr:spPr>
            <a:xfrm>
              <a:off x="2771775" y="9020176"/>
              <a:ext cx="3200399" cy="3105149"/>
            </a:xfrm>
            <a:prstGeom prst="rect">
              <a:avLst/>
            </a:prstGeom>
            <a:gradFill flip="none" rotWithShape="1">
              <a:gsLst>
                <a:gs pos="0">
                  <a:schemeClr val="accent1">
                    <a:shade val="30000"/>
                    <a:satMod val="115000"/>
                    <a:lumMod val="84000"/>
                    <a:lumOff val="16000"/>
                  </a:schemeClr>
                </a:gs>
                <a:gs pos="50000">
                  <a:schemeClr val="accent1">
                    <a:shade val="67500"/>
                    <a:satMod val="115000"/>
                    <a:lumMod val="71000"/>
                    <a:lumOff val="29000"/>
                  </a:schemeClr>
                </a:gs>
                <a:gs pos="100000">
                  <a:schemeClr val="accent1">
                    <a:shade val="100000"/>
                    <a:satMod val="115000"/>
                    <a:lumMod val="63000"/>
                    <a:lumOff val="37000"/>
                  </a:schemeClr>
                </a:gs>
              </a:gsLst>
              <a:path path="circle">
                <a:fillToRect t="100000" r="100000"/>
              </a:path>
              <a:tileRect l="-100000" b="-10000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Group 222">
              <a:extLst>
                <a:ext uri="{FF2B5EF4-FFF2-40B4-BE49-F238E27FC236}">
                  <a16:creationId xmlns:a16="http://schemas.microsoft.com/office/drawing/2014/main" id="{00000000-0008-0000-1000-000087000000}"/>
                </a:ext>
              </a:extLst>
            </xdr:cNvPr>
            <xdr:cNvGrpSpPr>
              <a:grpSpLocks/>
            </xdr:cNvGrpSpPr>
          </xdr:nvGrpSpPr>
          <xdr:grpSpPr bwMode="auto">
            <a:xfrm>
              <a:off x="2847975" y="9839325"/>
              <a:ext cx="666750" cy="552450"/>
              <a:chOff x="875" y="709"/>
              <a:chExt cx="70" cy="58"/>
            </a:xfrm>
          </xdr:grpSpPr>
          <xdr:grpSp>
            <xdr:nvGrpSpPr>
              <xdr:cNvPr id="150" name="Group 223">
                <a:extLst>
                  <a:ext uri="{FF2B5EF4-FFF2-40B4-BE49-F238E27FC236}">
                    <a16:creationId xmlns:a16="http://schemas.microsoft.com/office/drawing/2014/main" id="{00000000-0008-0000-1000-000096000000}"/>
                  </a:ext>
                </a:extLst>
              </xdr:cNvPr>
              <xdr:cNvGrpSpPr>
                <a:grpSpLocks/>
              </xdr:cNvGrpSpPr>
            </xdr:nvGrpSpPr>
            <xdr:grpSpPr bwMode="auto">
              <a:xfrm>
                <a:off x="875" y="709"/>
                <a:ext cx="70" cy="58"/>
                <a:chOff x="875" y="709"/>
                <a:chExt cx="70" cy="58"/>
              </a:xfrm>
            </xdr:grpSpPr>
            <xdr:sp macro="" textlink="">
              <xdr:nvSpPr>
                <xdr:cNvPr id="154" name="AutoShape 224">
                  <a:extLst>
                    <a:ext uri="{FF2B5EF4-FFF2-40B4-BE49-F238E27FC236}">
                      <a16:creationId xmlns:a16="http://schemas.microsoft.com/office/drawing/2014/main" id="{00000000-0008-0000-1000-00009A00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55" name="AutoShape 225">
                  <a:extLst>
                    <a:ext uri="{FF2B5EF4-FFF2-40B4-BE49-F238E27FC236}">
                      <a16:creationId xmlns:a16="http://schemas.microsoft.com/office/drawing/2014/main" id="{00000000-0008-0000-1000-00009B00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56" name="Oval 226">
                  <a:extLst>
                    <a:ext uri="{FF2B5EF4-FFF2-40B4-BE49-F238E27FC236}">
                      <a16:creationId xmlns:a16="http://schemas.microsoft.com/office/drawing/2014/main" id="{00000000-0008-0000-1000-00009C00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157" name="Oval 227">
                  <a:extLst>
                    <a:ext uri="{FF2B5EF4-FFF2-40B4-BE49-F238E27FC236}">
                      <a16:creationId xmlns:a16="http://schemas.microsoft.com/office/drawing/2014/main" id="{00000000-0008-0000-1000-00009D00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158" name="Oval 228">
                  <a:extLst>
                    <a:ext uri="{FF2B5EF4-FFF2-40B4-BE49-F238E27FC236}">
                      <a16:creationId xmlns:a16="http://schemas.microsoft.com/office/drawing/2014/main" id="{00000000-0008-0000-1000-00009E00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159" name="Oval 229">
                  <a:extLst>
                    <a:ext uri="{FF2B5EF4-FFF2-40B4-BE49-F238E27FC236}">
                      <a16:creationId xmlns:a16="http://schemas.microsoft.com/office/drawing/2014/main" id="{00000000-0008-0000-1000-00009F00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160" name="Freeform 230">
                  <a:extLst>
                    <a:ext uri="{FF2B5EF4-FFF2-40B4-BE49-F238E27FC236}">
                      <a16:creationId xmlns:a16="http://schemas.microsoft.com/office/drawing/2014/main" id="{00000000-0008-0000-1000-0000A000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161" name="Freeform 231">
                  <a:extLst>
                    <a:ext uri="{FF2B5EF4-FFF2-40B4-BE49-F238E27FC236}">
                      <a16:creationId xmlns:a16="http://schemas.microsoft.com/office/drawing/2014/main" id="{00000000-0008-0000-1000-0000A100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grpSp>
            <xdr:nvGrpSpPr>
              <xdr:cNvPr id="151" name="Group 232">
                <a:extLst>
                  <a:ext uri="{FF2B5EF4-FFF2-40B4-BE49-F238E27FC236}">
                    <a16:creationId xmlns:a16="http://schemas.microsoft.com/office/drawing/2014/main" id="{00000000-0008-0000-1000-000097000000}"/>
                  </a:ext>
                </a:extLst>
              </xdr:cNvPr>
              <xdr:cNvGrpSpPr>
                <a:grpSpLocks/>
              </xdr:cNvGrpSpPr>
            </xdr:nvGrpSpPr>
            <xdr:grpSpPr bwMode="auto">
              <a:xfrm>
                <a:off x="889" y="735"/>
                <a:ext cx="24" cy="24"/>
                <a:chOff x="789" y="844"/>
                <a:chExt cx="24" cy="24"/>
              </a:xfrm>
            </xdr:grpSpPr>
            <xdr:sp macro="" textlink="">
              <xdr:nvSpPr>
                <xdr:cNvPr id="152" name="Line 233">
                  <a:extLst>
                    <a:ext uri="{FF2B5EF4-FFF2-40B4-BE49-F238E27FC236}">
                      <a16:creationId xmlns:a16="http://schemas.microsoft.com/office/drawing/2014/main" id="{00000000-0008-0000-1000-000098000000}"/>
                    </a:ext>
                  </a:extLst>
                </xdr:cNvPr>
                <xdr:cNvSpPr>
                  <a:spLocks noChangeShapeType="1"/>
                </xdr:cNvSpPr>
              </xdr:nvSpPr>
              <xdr:spPr bwMode="auto">
                <a:xfrm>
                  <a:off x="789" y="857"/>
                  <a:ext cx="24" cy="0"/>
                </a:xfrm>
                <a:prstGeom prst="line">
                  <a:avLst/>
                </a:prstGeom>
                <a:noFill/>
                <a:ln w="28575">
                  <a:solidFill>
                    <a:srgbClr val="000000"/>
                  </a:solidFill>
                  <a:round/>
                  <a:headEnd/>
                  <a:tailEnd/>
                </a:ln>
              </xdr:spPr>
            </xdr:sp>
            <xdr:sp macro="" textlink="">
              <xdr:nvSpPr>
                <xdr:cNvPr id="153" name="Line 234">
                  <a:extLst>
                    <a:ext uri="{FF2B5EF4-FFF2-40B4-BE49-F238E27FC236}">
                      <a16:creationId xmlns:a16="http://schemas.microsoft.com/office/drawing/2014/main" id="{00000000-0008-0000-1000-000099000000}"/>
                    </a:ext>
                  </a:extLst>
                </xdr:cNvPr>
                <xdr:cNvSpPr>
                  <a:spLocks noChangeShapeType="1"/>
                </xdr:cNvSpPr>
              </xdr:nvSpPr>
              <xdr:spPr bwMode="auto">
                <a:xfrm rot="-5400000">
                  <a:off x="790" y="856"/>
                  <a:ext cx="24" cy="0"/>
                </a:xfrm>
                <a:prstGeom prst="line">
                  <a:avLst/>
                </a:prstGeom>
                <a:noFill/>
                <a:ln w="28575">
                  <a:solidFill>
                    <a:srgbClr val="000000"/>
                  </a:solidFill>
                  <a:round/>
                  <a:headEnd/>
                  <a:tailEnd/>
                </a:ln>
              </xdr:spPr>
            </xdr:sp>
          </xdr:grpSp>
        </xdr:grpSp>
        <xdr:grpSp>
          <xdr:nvGrpSpPr>
            <xdr:cNvPr id="136" name="Group 235">
              <a:extLst>
                <a:ext uri="{FF2B5EF4-FFF2-40B4-BE49-F238E27FC236}">
                  <a16:creationId xmlns:a16="http://schemas.microsoft.com/office/drawing/2014/main" id="{00000000-0008-0000-1000-000088000000}"/>
                </a:ext>
              </a:extLst>
            </xdr:cNvPr>
            <xdr:cNvGrpSpPr>
              <a:grpSpLocks/>
            </xdr:cNvGrpSpPr>
          </xdr:nvGrpSpPr>
          <xdr:grpSpPr bwMode="auto">
            <a:xfrm>
              <a:off x="5191125" y="9839325"/>
              <a:ext cx="666750" cy="552450"/>
              <a:chOff x="1016" y="782"/>
              <a:chExt cx="70" cy="58"/>
            </a:xfrm>
          </xdr:grpSpPr>
          <xdr:grpSp>
            <xdr:nvGrpSpPr>
              <xdr:cNvPr id="140" name="Group 236">
                <a:extLst>
                  <a:ext uri="{FF2B5EF4-FFF2-40B4-BE49-F238E27FC236}">
                    <a16:creationId xmlns:a16="http://schemas.microsoft.com/office/drawing/2014/main" id="{00000000-0008-0000-1000-00008C000000}"/>
                  </a:ext>
                </a:extLst>
              </xdr:cNvPr>
              <xdr:cNvGrpSpPr>
                <a:grpSpLocks/>
              </xdr:cNvGrpSpPr>
            </xdr:nvGrpSpPr>
            <xdr:grpSpPr bwMode="auto">
              <a:xfrm>
                <a:off x="1016" y="782"/>
                <a:ext cx="70" cy="58"/>
                <a:chOff x="875" y="709"/>
                <a:chExt cx="70" cy="58"/>
              </a:xfrm>
            </xdr:grpSpPr>
            <xdr:sp macro="" textlink="">
              <xdr:nvSpPr>
                <xdr:cNvPr id="142" name="AutoShape 237">
                  <a:extLst>
                    <a:ext uri="{FF2B5EF4-FFF2-40B4-BE49-F238E27FC236}">
                      <a16:creationId xmlns:a16="http://schemas.microsoft.com/office/drawing/2014/main" id="{00000000-0008-0000-1000-00008E00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43" name="AutoShape 238">
                  <a:extLst>
                    <a:ext uri="{FF2B5EF4-FFF2-40B4-BE49-F238E27FC236}">
                      <a16:creationId xmlns:a16="http://schemas.microsoft.com/office/drawing/2014/main" id="{00000000-0008-0000-1000-00008F00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44" name="Oval 239">
                  <a:extLst>
                    <a:ext uri="{FF2B5EF4-FFF2-40B4-BE49-F238E27FC236}">
                      <a16:creationId xmlns:a16="http://schemas.microsoft.com/office/drawing/2014/main" id="{00000000-0008-0000-1000-00009000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145" name="Oval 240">
                  <a:extLst>
                    <a:ext uri="{FF2B5EF4-FFF2-40B4-BE49-F238E27FC236}">
                      <a16:creationId xmlns:a16="http://schemas.microsoft.com/office/drawing/2014/main" id="{00000000-0008-0000-1000-00009100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146" name="Oval 241">
                  <a:extLst>
                    <a:ext uri="{FF2B5EF4-FFF2-40B4-BE49-F238E27FC236}">
                      <a16:creationId xmlns:a16="http://schemas.microsoft.com/office/drawing/2014/main" id="{00000000-0008-0000-1000-00009200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147" name="Oval 242">
                  <a:extLst>
                    <a:ext uri="{FF2B5EF4-FFF2-40B4-BE49-F238E27FC236}">
                      <a16:creationId xmlns:a16="http://schemas.microsoft.com/office/drawing/2014/main" id="{00000000-0008-0000-1000-00009300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148" name="Freeform 243">
                  <a:extLst>
                    <a:ext uri="{FF2B5EF4-FFF2-40B4-BE49-F238E27FC236}">
                      <a16:creationId xmlns:a16="http://schemas.microsoft.com/office/drawing/2014/main" id="{00000000-0008-0000-1000-00009400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149" name="Freeform 244">
                  <a:extLst>
                    <a:ext uri="{FF2B5EF4-FFF2-40B4-BE49-F238E27FC236}">
                      <a16:creationId xmlns:a16="http://schemas.microsoft.com/office/drawing/2014/main" id="{00000000-0008-0000-1000-00009500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sp macro="" textlink="">
            <xdr:nvSpPr>
              <xdr:cNvPr id="141" name="Line 245">
                <a:extLst>
                  <a:ext uri="{FF2B5EF4-FFF2-40B4-BE49-F238E27FC236}">
                    <a16:creationId xmlns:a16="http://schemas.microsoft.com/office/drawing/2014/main" id="{00000000-0008-0000-1000-00008D000000}"/>
                  </a:ext>
                </a:extLst>
              </xdr:cNvPr>
              <xdr:cNvSpPr>
                <a:spLocks noChangeShapeType="1"/>
              </xdr:cNvSpPr>
            </xdr:nvSpPr>
            <xdr:spPr bwMode="auto">
              <a:xfrm>
                <a:off x="1030" y="819"/>
                <a:ext cx="24" cy="0"/>
              </a:xfrm>
              <a:prstGeom prst="line">
                <a:avLst/>
              </a:prstGeom>
              <a:noFill/>
              <a:ln w="28575">
                <a:solidFill>
                  <a:srgbClr val="000000"/>
                </a:solidFill>
                <a:round/>
                <a:headEnd/>
                <a:tailEnd/>
              </a:ln>
            </xdr:spPr>
          </xdr:sp>
        </xdr:grpSp>
        <xdr:sp macro="" textlink="">
          <xdr:nvSpPr>
            <xdr:cNvPr id="137" name="Freeform 136">
              <a:extLst>
                <a:ext uri="{FF2B5EF4-FFF2-40B4-BE49-F238E27FC236}">
                  <a16:creationId xmlns:a16="http://schemas.microsoft.com/office/drawing/2014/main" id="{00000000-0008-0000-1000-000089000000}"/>
                </a:ext>
              </a:extLst>
            </xdr:cNvPr>
            <xdr:cNvSpPr/>
          </xdr:nvSpPr>
          <xdr:spPr>
            <a:xfrm>
              <a:off x="5966130" y="7174306"/>
              <a:ext cx="1806545" cy="4931948"/>
            </a:xfrm>
            <a:custGeom>
              <a:avLst/>
              <a:gdLst>
                <a:gd name="connsiteX0" fmla="*/ 0 w 1576320"/>
                <a:gd name="connsiteY0" fmla="*/ 1556197 h 4695423"/>
                <a:gd name="connsiteX1" fmla="*/ 1576320 w 1576320"/>
                <a:gd name="connsiteY1" fmla="*/ 0 h 4695423"/>
                <a:gd name="connsiteX2" fmla="*/ 1576320 w 1576320"/>
                <a:gd name="connsiteY2" fmla="*/ 3152641 h 4695423"/>
                <a:gd name="connsiteX3" fmla="*/ 20123 w 1576320"/>
                <a:gd name="connsiteY3" fmla="*/ 4695423 h 4695423"/>
                <a:gd name="connsiteX4" fmla="*/ 0 w 1576320"/>
                <a:gd name="connsiteY4" fmla="*/ 1556197 h 4695423"/>
                <a:gd name="connsiteX0" fmla="*/ 0 w 1671699"/>
                <a:gd name="connsiteY0" fmla="*/ 1707726 h 4695423"/>
                <a:gd name="connsiteX1" fmla="*/ 1671699 w 1671699"/>
                <a:gd name="connsiteY1" fmla="*/ 0 h 4695423"/>
                <a:gd name="connsiteX2" fmla="*/ 1671699 w 1671699"/>
                <a:gd name="connsiteY2" fmla="*/ 3152641 h 4695423"/>
                <a:gd name="connsiteX3" fmla="*/ 115502 w 1671699"/>
                <a:gd name="connsiteY3" fmla="*/ 4695423 h 4695423"/>
                <a:gd name="connsiteX4" fmla="*/ 0 w 1671699"/>
                <a:gd name="connsiteY4" fmla="*/ 1707726 h 4695423"/>
                <a:gd name="connsiteX0" fmla="*/ 0 w 1671699"/>
                <a:gd name="connsiteY0" fmla="*/ 1707726 h 4780658"/>
                <a:gd name="connsiteX1" fmla="*/ 1671699 w 1671699"/>
                <a:gd name="connsiteY1" fmla="*/ 0 h 4780658"/>
                <a:gd name="connsiteX2" fmla="*/ 1671699 w 1671699"/>
                <a:gd name="connsiteY2" fmla="*/ 3152641 h 4780658"/>
                <a:gd name="connsiteX3" fmla="*/ 1047 w 1671699"/>
                <a:gd name="connsiteY3" fmla="*/ 4780658 h 4780658"/>
                <a:gd name="connsiteX4" fmla="*/ 0 w 1671699"/>
                <a:gd name="connsiteY4" fmla="*/ 1707726 h 4780658"/>
                <a:gd name="connsiteX0" fmla="*/ 0 w 1680704"/>
                <a:gd name="connsiteY0" fmla="*/ 1783491 h 4856423"/>
                <a:gd name="connsiteX1" fmla="*/ 1680704 w 1680704"/>
                <a:gd name="connsiteY1" fmla="*/ 0 h 4856423"/>
                <a:gd name="connsiteX2" fmla="*/ 1671699 w 1680704"/>
                <a:gd name="connsiteY2" fmla="*/ 3228406 h 4856423"/>
                <a:gd name="connsiteX3" fmla="*/ 1047 w 1680704"/>
                <a:gd name="connsiteY3" fmla="*/ 4856423 h 4856423"/>
                <a:gd name="connsiteX4" fmla="*/ 0 w 1680704"/>
                <a:gd name="connsiteY4" fmla="*/ 1783491 h 4856423"/>
                <a:gd name="connsiteX0" fmla="*/ 0 w 1680704"/>
                <a:gd name="connsiteY0" fmla="*/ 1802432 h 4875364"/>
                <a:gd name="connsiteX1" fmla="*/ 1680704 w 1680704"/>
                <a:gd name="connsiteY1" fmla="*/ 0 h 4875364"/>
                <a:gd name="connsiteX2" fmla="*/ 1671699 w 1680704"/>
                <a:gd name="connsiteY2" fmla="*/ 3247347 h 4875364"/>
                <a:gd name="connsiteX3" fmla="*/ 1047 w 1680704"/>
                <a:gd name="connsiteY3" fmla="*/ 4875364 h 4875364"/>
                <a:gd name="connsiteX4" fmla="*/ 0 w 1680704"/>
                <a:gd name="connsiteY4" fmla="*/ 1802432 h 4875364"/>
                <a:gd name="connsiteX0" fmla="*/ 0 w 1690108"/>
                <a:gd name="connsiteY0" fmla="*/ 1802432 h 4875364"/>
                <a:gd name="connsiteX1" fmla="*/ 1680704 w 1690108"/>
                <a:gd name="connsiteY1" fmla="*/ 0 h 4875364"/>
                <a:gd name="connsiteX2" fmla="*/ 1689709 w 1690108"/>
                <a:gd name="connsiteY2" fmla="*/ 3218935 h 4875364"/>
                <a:gd name="connsiteX3" fmla="*/ 1047 w 1690108"/>
                <a:gd name="connsiteY3" fmla="*/ 4875364 h 4875364"/>
                <a:gd name="connsiteX4" fmla="*/ 0 w 1690108"/>
                <a:gd name="connsiteY4" fmla="*/ 1802432 h 4875364"/>
                <a:gd name="connsiteX0" fmla="*/ 0 w 1690108"/>
                <a:gd name="connsiteY0" fmla="*/ 1802432 h 4903776"/>
                <a:gd name="connsiteX1" fmla="*/ 1680704 w 1690108"/>
                <a:gd name="connsiteY1" fmla="*/ 0 h 4903776"/>
                <a:gd name="connsiteX2" fmla="*/ 1689709 w 1690108"/>
                <a:gd name="connsiteY2" fmla="*/ 3218935 h 4903776"/>
                <a:gd name="connsiteX3" fmla="*/ 1047 w 1690108"/>
                <a:gd name="connsiteY3" fmla="*/ 4903776 h 4903776"/>
                <a:gd name="connsiteX4" fmla="*/ 0 w 1690108"/>
                <a:gd name="connsiteY4" fmla="*/ 1802432 h 4903776"/>
                <a:gd name="connsiteX0" fmla="*/ 0 w 1698974"/>
                <a:gd name="connsiteY0" fmla="*/ 1802432 h 4903776"/>
                <a:gd name="connsiteX1" fmla="*/ 1680704 w 1698974"/>
                <a:gd name="connsiteY1" fmla="*/ 0 h 4903776"/>
                <a:gd name="connsiteX2" fmla="*/ 1698714 w 1698974"/>
                <a:gd name="connsiteY2" fmla="*/ 2783288 h 4903776"/>
                <a:gd name="connsiteX3" fmla="*/ 1047 w 1698974"/>
                <a:gd name="connsiteY3" fmla="*/ 4903776 h 4903776"/>
                <a:gd name="connsiteX4" fmla="*/ 0 w 1698974"/>
                <a:gd name="connsiteY4" fmla="*/ 1802432 h 4903776"/>
                <a:gd name="connsiteX0" fmla="*/ 0 w 1707979"/>
                <a:gd name="connsiteY0" fmla="*/ 1849785 h 4903776"/>
                <a:gd name="connsiteX1" fmla="*/ 1689709 w 1707979"/>
                <a:gd name="connsiteY1" fmla="*/ 0 h 4903776"/>
                <a:gd name="connsiteX2" fmla="*/ 1707719 w 1707979"/>
                <a:gd name="connsiteY2" fmla="*/ 2783288 h 4903776"/>
                <a:gd name="connsiteX3" fmla="*/ 10052 w 1707979"/>
                <a:gd name="connsiteY3" fmla="*/ 4903776 h 4903776"/>
                <a:gd name="connsiteX4" fmla="*/ 0 w 1707979"/>
                <a:gd name="connsiteY4" fmla="*/ 1849785 h 49037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07979" h="4903776">
                  <a:moveTo>
                    <a:pt x="0" y="1849785"/>
                  </a:moveTo>
                  <a:cubicBezTo>
                    <a:pt x="560235" y="1248974"/>
                    <a:pt x="1129474" y="600811"/>
                    <a:pt x="1689709" y="0"/>
                  </a:cubicBezTo>
                  <a:cubicBezTo>
                    <a:pt x="1686707" y="1076135"/>
                    <a:pt x="1710721" y="1707153"/>
                    <a:pt x="1707719" y="2783288"/>
                  </a:cubicBezTo>
                  <a:lnTo>
                    <a:pt x="10052" y="4903776"/>
                  </a:lnTo>
                  <a:cubicBezTo>
                    <a:pt x="6701" y="3885779"/>
                    <a:pt x="3351" y="2867782"/>
                    <a:pt x="0" y="1849785"/>
                  </a:cubicBezTo>
                  <a:close/>
                </a:path>
              </a:pathLst>
            </a:custGeom>
            <a:gradFill flip="none" rotWithShape="1">
              <a:gsLst>
                <a:gs pos="0">
                  <a:schemeClr val="accent1">
                    <a:shade val="30000"/>
                    <a:satMod val="115000"/>
                  </a:schemeClr>
                </a:gs>
                <a:gs pos="50000">
                  <a:schemeClr val="accent1">
                    <a:shade val="67500"/>
                    <a:satMod val="115000"/>
                    <a:lumMod val="83000"/>
                    <a:lumOff val="17000"/>
                  </a:schemeClr>
                </a:gs>
                <a:gs pos="100000">
                  <a:schemeClr val="accent1">
                    <a:shade val="100000"/>
                    <a:satMod val="115000"/>
                    <a:lumMod val="27000"/>
                    <a:lumOff val="73000"/>
                  </a:schemeClr>
                </a:gs>
              </a:gsLst>
              <a:path path="circle">
                <a:fillToRect t="100000" r="100000"/>
              </a:path>
              <a:tileRect l="-100000" b="-10000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8" name="AutoShape 474">
              <a:extLst>
                <a:ext uri="{FF2B5EF4-FFF2-40B4-BE49-F238E27FC236}">
                  <a16:creationId xmlns:a16="http://schemas.microsoft.com/office/drawing/2014/main" id="{00000000-0008-0000-1000-00008A000000}"/>
                </a:ext>
              </a:extLst>
            </xdr:cNvPr>
            <xdr:cNvSpPr>
              <a:spLocks/>
            </xdr:cNvSpPr>
          </xdr:nvSpPr>
          <xdr:spPr bwMode="auto">
            <a:xfrm>
              <a:off x="257175" y="8258175"/>
              <a:ext cx="2276475" cy="1028700"/>
            </a:xfrm>
            <a:prstGeom prst="callout2">
              <a:avLst>
                <a:gd name="adj1" fmla="val 12357"/>
                <a:gd name="adj2" fmla="val 104943"/>
                <a:gd name="adj3" fmla="val 10449"/>
                <a:gd name="adj4" fmla="val 125570"/>
                <a:gd name="adj5" fmla="val 60427"/>
                <a:gd name="adj6" fmla="val 143839"/>
              </a:avLst>
            </a:prstGeom>
            <a:solidFill>
              <a:srgbClr val="FFFFFF"/>
            </a:solidFill>
            <a:ln w="12700">
              <a:solidFill>
                <a:srgbClr val="000000"/>
              </a:solidFill>
              <a:miter lim="800000"/>
              <a:headEnd/>
              <a:tailEnd type="triangle" w="lg" len="lg"/>
            </a:ln>
          </xdr:spPr>
          <xdr:txBody>
            <a:bodyPr vertOverflow="clip" wrap="square" lIns="0" tIns="32004" rIns="36576" bIns="0" anchor="t" upright="1"/>
            <a:lstStyle/>
            <a:p>
              <a:pPr algn="r" rtl="0">
                <a:defRPr sz="1000"/>
              </a:pPr>
              <a:r>
                <a:rPr lang="en-US" sz="2000" b="1" i="0" u="none" strike="noStrike" baseline="0">
                  <a:solidFill>
                    <a:srgbClr val="000000"/>
                  </a:solidFill>
                  <a:latin typeface="Arial"/>
                  <a:cs typeface="Arial"/>
                </a:rPr>
                <a:t>Polymer Strip Blocking Air Flow at Cell Terminals </a:t>
              </a:r>
            </a:p>
          </xdr:txBody>
        </xdr:sp>
        <xdr:sp macro="" textlink="">
          <xdr:nvSpPr>
            <xdr:cNvPr id="139" name="AutoShape 247">
              <a:extLst>
                <a:ext uri="{FF2B5EF4-FFF2-40B4-BE49-F238E27FC236}">
                  <a16:creationId xmlns:a16="http://schemas.microsoft.com/office/drawing/2014/main" id="{00000000-0008-0000-1000-00008B000000}"/>
                </a:ext>
              </a:extLst>
            </xdr:cNvPr>
            <xdr:cNvSpPr>
              <a:spLocks/>
            </xdr:cNvSpPr>
          </xdr:nvSpPr>
          <xdr:spPr bwMode="auto">
            <a:xfrm>
              <a:off x="409575" y="9925050"/>
              <a:ext cx="1781175" cy="723900"/>
            </a:xfrm>
            <a:prstGeom prst="callout2">
              <a:avLst>
                <a:gd name="adj1" fmla="val 15792"/>
                <a:gd name="adj2" fmla="val 104278"/>
                <a:gd name="adj3" fmla="val 15792"/>
                <a:gd name="adj4" fmla="val 117111"/>
                <a:gd name="adj5" fmla="val 32893"/>
                <a:gd name="adj6" fmla="val 143852"/>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Module Terminal </a:t>
              </a:r>
            </a:p>
          </xdr:txBody>
        </xdr:sp>
      </xdr:grpSp>
      <xdr:grpSp>
        <xdr:nvGrpSpPr>
          <xdr:cNvPr id="6" name="Group 5">
            <a:extLst>
              <a:ext uri="{FF2B5EF4-FFF2-40B4-BE49-F238E27FC236}">
                <a16:creationId xmlns:a16="http://schemas.microsoft.com/office/drawing/2014/main" id="{00000000-0008-0000-1000-000006000000}"/>
              </a:ext>
            </a:extLst>
          </xdr:cNvPr>
          <xdr:cNvGrpSpPr/>
        </xdr:nvGrpSpPr>
        <xdr:grpSpPr>
          <a:xfrm>
            <a:off x="8233514" y="6899455"/>
            <a:ext cx="853336" cy="5267303"/>
            <a:chOff x="7995389" y="6899455"/>
            <a:chExt cx="853336" cy="5267303"/>
          </a:xfrm>
        </xdr:grpSpPr>
        <xdr:grpSp>
          <xdr:nvGrpSpPr>
            <xdr:cNvPr id="66" name="Group 65">
              <a:extLst>
                <a:ext uri="{FF2B5EF4-FFF2-40B4-BE49-F238E27FC236}">
                  <a16:creationId xmlns:a16="http://schemas.microsoft.com/office/drawing/2014/main" id="{00000000-0008-0000-1000-000042000000}"/>
                </a:ext>
              </a:extLst>
            </xdr:cNvPr>
            <xdr:cNvGrpSpPr/>
          </xdr:nvGrpSpPr>
          <xdr:grpSpPr>
            <a:xfrm>
              <a:off x="7995389" y="6918505"/>
              <a:ext cx="529486" cy="5248253"/>
              <a:chOff x="7995389" y="6918505"/>
              <a:chExt cx="529486" cy="5248253"/>
            </a:xfrm>
          </xdr:grpSpPr>
          <xdr:sp macro="" textlink="">
            <xdr:nvSpPr>
              <xdr:cNvPr id="93" name="Rectangle 92">
                <a:extLst>
                  <a:ext uri="{FF2B5EF4-FFF2-40B4-BE49-F238E27FC236}">
                    <a16:creationId xmlns:a16="http://schemas.microsoft.com/office/drawing/2014/main" id="{00000000-0008-0000-1000-00005D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 name="Rectangle 93">
                <a:extLst>
                  <a:ext uri="{FF2B5EF4-FFF2-40B4-BE49-F238E27FC236}">
                    <a16:creationId xmlns:a16="http://schemas.microsoft.com/office/drawing/2014/main" id="{00000000-0008-0000-1000-00005E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5" name="Rectangle 94">
                <a:extLst>
                  <a:ext uri="{FF2B5EF4-FFF2-40B4-BE49-F238E27FC236}">
                    <a16:creationId xmlns:a16="http://schemas.microsoft.com/office/drawing/2014/main" id="{00000000-0008-0000-1000-00005F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6" name="Rectangle 95">
                <a:extLst>
                  <a:ext uri="{FF2B5EF4-FFF2-40B4-BE49-F238E27FC236}">
                    <a16:creationId xmlns:a16="http://schemas.microsoft.com/office/drawing/2014/main" id="{00000000-0008-0000-1000-000060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7" name="Rectangle 96">
                <a:extLst>
                  <a:ext uri="{FF2B5EF4-FFF2-40B4-BE49-F238E27FC236}">
                    <a16:creationId xmlns:a16="http://schemas.microsoft.com/office/drawing/2014/main" id="{00000000-0008-0000-1000-000061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Rectangle 97">
                <a:extLst>
                  <a:ext uri="{FF2B5EF4-FFF2-40B4-BE49-F238E27FC236}">
                    <a16:creationId xmlns:a16="http://schemas.microsoft.com/office/drawing/2014/main" id="{00000000-0008-0000-1000-000062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9" name="Rectangle 98">
                <a:extLst>
                  <a:ext uri="{FF2B5EF4-FFF2-40B4-BE49-F238E27FC236}">
                    <a16:creationId xmlns:a16="http://schemas.microsoft.com/office/drawing/2014/main" id="{00000000-0008-0000-1000-000063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0" name="Rectangle 99">
                <a:extLst>
                  <a:ext uri="{FF2B5EF4-FFF2-40B4-BE49-F238E27FC236}">
                    <a16:creationId xmlns:a16="http://schemas.microsoft.com/office/drawing/2014/main" id="{00000000-0008-0000-1000-000064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Rectangle 100">
                <a:extLst>
                  <a:ext uri="{FF2B5EF4-FFF2-40B4-BE49-F238E27FC236}">
                    <a16:creationId xmlns:a16="http://schemas.microsoft.com/office/drawing/2014/main" id="{00000000-0008-0000-1000-000065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 name="Freeform 101">
                <a:extLst>
                  <a:ext uri="{FF2B5EF4-FFF2-40B4-BE49-F238E27FC236}">
                    <a16:creationId xmlns:a16="http://schemas.microsoft.com/office/drawing/2014/main" id="{00000000-0008-0000-1000-000066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3" name="Straight Connector 102">
                <a:extLst>
                  <a:ext uri="{FF2B5EF4-FFF2-40B4-BE49-F238E27FC236}">
                    <a16:creationId xmlns:a16="http://schemas.microsoft.com/office/drawing/2014/main" id="{00000000-0008-0000-1000-000067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Freeform 103">
                <a:extLst>
                  <a:ext uri="{FF2B5EF4-FFF2-40B4-BE49-F238E27FC236}">
                    <a16:creationId xmlns:a16="http://schemas.microsoft.com/office/drawing/2014/main" id="{00000000-0008-0000-1000-000068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5" name="Freeform 104">
                <a:extLst>
                  <a:ext uri="{FF2B5EF4-FFF2-40B4-BE49-F238E27FC236}">
                    <a16:creationId xmlns:a16="http://schemas.microsoft.com/office/drawing/2014/main" id="{00000000-0008-0000-1000-000069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 name="Freeform 105">
                <a:extLst>
                  <a:ext uri="{FF2B5EF4-FFF2-40B4-BE49-F238E27FC236}">
                    <a16:creationId xmlns:a16="http://schemas.microsoft.com/office/drawing/2014/main" id="{00000000-0008-0000-1000-00006A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7" name="Freeform 106">
                <a:extLst>
                  <a:ext uri="{FF2B5EF4-FFF2-40B4-BE49-F238E27FC236}">
                    <a16:creationId xmlns:a16="http://schemas.microsoft.com/office/drawing/2014/main" id="{00000000-0008-0000-1000-00006B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8" name="Freeform 107">
                <a:extLst>
                  <a:ext uri="{FF2B5EF4-FFF2-40B4-BE49-F238E27FC236}">
                    <a16:creationId xmlns:a16="http://schemas.microsoft.com/office/drawing/2014/main" id="{00000000-0008-0000-1000-00006C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9" name="Freeform 108">
                <a:extLst>
                  <a:ext uri="{FF2B5EF4-FFF2-40B4-BE49-F238E27FC236}">
                    <a16:creationId xmlns:a16="http://schemas.microsoft.com/office/drawing/2014/main" id="{00000000-0008-0000-1000-00006D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0" name="Freeform 109">
                <a:extLst>
                  <a:ext uri="{FF2B5EF4-FFF2-40B4-BE49-F238E27FC236}">
                    <a16:creationId xmlns:a16="http://schemas.microsoft.com/office/drawing/2014/main" id="{00000000-0008-0000-1000-00006E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1" name="Freeform 110">
                <a:extLst>
                  <a:ext uri="{FF2B5EF4-FFF2-40B4-BE49-F238E27FC236}">
                    <a16:creationId xmlns:a16="http://schemas.microsoft.com/office/drawing/2014/main" id="{00000000-0008-0000-1000-00006F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2" name="Freeform 111">
                <a:extLst>
                  <a:ext uri="{FF2B5EF4-FFF2-40B4-BE49-F238E27FC236}">
                    <a16:creationId xmlns:a16="http://schemas.microsoft.com/office/drawing/2014/main" id="{00000000-0008-0000-1000-000070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3" name="Freeform 112">
                <a:extLst>
                  <a:ext uri="{FF2B5EF4-FFF2-40B4-BE49-F238E27FC236}">
                    <a16:creationId xmlns:a16="http://schemas.microsoft.com/office/drawing/2014/main" id="{00000000-0008-0000-1000-000071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4" name="Freeform 113">
                <a:extLst>
                  <a:ext uri="{FF2B5EF4-FFF2-40B4-BE49-F238E27FC236}">
                    <a16:creationId xmlns:a16="http://schemas.microsoft.com/office/drawing/2014/main" id="{00000000-0008-0000-1000-000072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5" name="Freeform 114">
                <a:extLst>
                  <a:ext uri="{FF2B5EF4-FFF2-40B4-BE49-F238E27FC236}">
                    <a16:creationId xmlns:a16="http://schemas.microsoft.com/office/drawing/2014/main" id="{00000000-0008-0000-1000-000073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16" name="Straight Connector 115">
                <a:extLst>
                  <a:ext uri="{FF2B5EF4-FFF2-40B4-BE49-F238E27FC236}">
                    <a16:creationId xmlns:a16="http://schemas.microsoft.com/office/drawing/2014/main" id="{00000000-0008-0000-1000-000074000000}"/>
                  </a:ext>
                </a:extLst>
              </xdr:cNvPr>
              <xdr:cNvCxnSpPr>
                <a:endCxn id="104"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1000-000075000000}"/>
                  </a:ext>
                </a:extLst>
              </xdr:cNvPr>
              <xdr:cNvCxnSpPr>
                <a:endCxn id="113"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nvGrpSpPr>
            <xdr:cNvPr id="67" name="Group 66">
              <a:extLst>
                <a:ext uri="{FF2B5EF4-FFF2-40B4-BE49-F238E27FC236}">
                  <a16:creationId xmlns:a16="http://schemas.microsoft.com/office/drawing/2014/main" id="{00000000-0008-0000-1000-000043000000}"/>
                </a:ext>
              </a:extLst>
            </xdr:cNvPr>
            <xdr:cNvGrpSpPr/>
          </xdr:nvGrpSpPr>
          <xdr:grpSpPr>
            <a:xfrm flipV="1">
              <a:off x="8319239" y="6899455"/>
              <a:ext cx="529486" cy="5248253"/>
              <a:chOff x="7995389" y="6918505"/>
              <a:chExt cx="529486" cy="5248253"/>
            </a:xfrm>
          </xdr:grpSpPr>
          <xdr:sp macro="" textlink="">
            <xdr:nvSpPr>
              <xdr:cNvPr id="68" name="Rectangle 67">
                <a:extLst>
                  <a:ext uri="{FF2B5EF4-FFF2-40B4-BE49-F238E27FC236}">
                    <a16:creationId xmlns:a16="http://schemas.microsoft.com/office/drawing/2014/main" id="{00000000-0008-0000-1000-000044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9" name="Rectangle 68">
                <a:extLst>
                  <a:ext uri="{FF2B5EF4-FFF2-40B4-BE49-F238E27FC236}">
                    <a16:creationId xmlns:a16="http://schemas.microsoft.com/office/drawing/2014/main" id="{00000000-0008-0000-1000-000045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0" name="Rectangle 69">
                <a:extLst>
                  <a:ext uri="{FF2B5EF4-FFF2-40B4-BE49-F238E27FC236}">
                    <a16:creationId xmlns:a16="http://schemas.microsoft.com/office/drawing/2014/main" id="{00000000-0008-0000-1000-000046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Rectangle 70">
                <a:extLst>
                  <a:ext uri="{FF2B5EF4-FFF2-40B4-BE49-F238E27FC236}">
                    <a16:creationId xmlns:a16="http://schemas.microsoft.com/office/drawing/2014/main" id="{00000000-0008-0000-1000-000047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2" name="Rectangle 71">
                <a:extLst>
                  <a:ext uri="{FF2B5EF4-FFF2-40B4-BE49-F238E27FC236}">
                    <a16:creationId xmlns:a16="http://schemas.microsoft.com/office/drawing/2014/main" id="{00000000-0008-0000-1000-000048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Rectangle 72">
                <a:extLst>
                  <a:ext uri="{FF2B5EF4-FFF2-40B4-BE49-F238E27FC236}">
                    <a16:creationId xmlns:a16="http://schemas.microsoft.com/office/drawing/2014/main" id="{00000000-0008-0000-1000-000049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Rectangle 73">
                <a:extLst>
                  <a:ext uri="{FF2B5EF4-FFF2-40B4-BE49-F238E27FC236}">
                    <a16:creationId xmlns:a16="http://schemas.microsoft.com/office/drawing/2014/main" id="{00000000-0008-0000-1000-00004A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Rectangle 74">
                <a:extLst>
                  <a:ext uri="{FF2B5EF4-FFF2-40B4-BE49-F238E27FC236}">
                    <a16:creationId xmlns:a16="http://schemas.microsoft.com/office/drawing/2014/main" id="{00000000-0008-0000-1000-00004B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6" name="Rectangle 75">
                <a:extLst>
                  <a:ext uri="{FF2B5EF4-FFF2-40B4-BE49-F238E27FC236}">
                    <a16:creationId xmlns:a16="http://schemas.microsoft.com/office/drawing/2014/main" id="{00000000-0008-0000-1000-00004C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Freeform 76">
                <a:extLst>
                  <a:ext uri="{FF2B5EF4-FFF2-40B4-BE49-F238E27FC236}">
                    <a16:creationId xmlns:a16="http://schemas.microsoft.com/office/drawing/2014/main" id="{00000000-0008-0000-1000-00004D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78" name="Straight Connector 77">
                <a:extLst>
                  <a:ext uri="{FF2B5EF4-FFF2-40B4-BE49-F238E27FC236}">
                    <a16:creationId xmlns:a16="http://schemas.microsoft.com/office/drawing/2014/main" id="{00000000-0008-0000-1000-00004E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79" name="Freeform 78">
                <a:extLst>
                  <a:ext uri="{FF2B5EF4-FFF2-40B4-BE49-F238E27FC236}">
                    <a16:creationId xmlns:a16="http://schemas.microsoft.com/office/drawing/2014/main" id="{00000000-0008-0000-1000-00004F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Freeform 79">
                <a:extLst>
                  <a:ext uri="{FF2B5EF4-FFF2-40B4-BE49-F238E27FC236}">
                    <a16:creationId xmlns:a16="http://schemas.microsoft.com/office/drawing/2014/main" id="{00000000-0008-0000-1000-000050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Freeform 80">
                <a:extLst>
                  <a:ext uri="{FF2B5EF4-FFF2-40B4-BE49-F238E27FC236}">
                    <a16:creationId xmlns:a16="http://schemas.microsoft.com/office/drawing/2014/main" id="{00000000-0008-0000-1000-000051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 name="Freeform 81">
                <a:extLst>
                  <a:ext uri="{FF2B5EF4-FFF2-40B4-BE49-F238E27FC236}">
                    <a16:creationId xmlns:a16="http://schemas.microsoft.com/office/drawing/2014/main" id="{00000000-0008-0000-1000-000052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Freeform 82">
                <a:extLst>
                  <a:ext uri="{FF2B5EF4-FFF2-40B4-BE49-F238E27FC236}">
                    <a16:creationId xmlns:a16="http://schemas.microsoft.com/office/drawing/2014/main" id="{00000000-0008-0000-1000-000053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a:extLst>
                  <a:ext uri="{FF2B5EF4-FFF2-40B4-BE49-F238E27FC236}">
                    <a16:creationId xmlns:a16="http://schemas.microsoft.com/office/drawing/2014/main" id="{00000000-0008-0000-1000-000054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Freeform 84">
                <a:extLst>
                  <a:ext uri="{FF2B5EF4-FFF2-40B4-BE49-F238E27FC236}">
                    <a16:creationId xmlns:a16="http://schemas.microsoft.com/office/drawing/2014/main" id="{00000000-0008-0000-1000-000055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a:extLst>
                  <a:ext uri="{FF2B5EF4-FFF2-40B4-BE49-F238E27FC236}">
                    <a16:creationId xmlns:a16="http://schemas.microsoft.com/office/drawing/2014/main" id="{00000000-0008-0000-1000-000056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a:extLst>
                  <a:ext uri="{FF2B5EF4-FFF2-40B4-BE49-F238E27FC236}">
                    <a16:creationId xmlns:a16="http://schemas.microsoft.com/office/drawing/2014/main" id="{00000000-0008-0000-1000-000057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a:extLst>
                  <a:ext uri="{FF2B5EF4-FFF2-40B4-BE49-F238E27FC236}">
                    <a16:creationId xmlns:a16="http://schemas.microsoft.com/office/drawing/2014/main" id="{00000000-0008-0000-1000-000058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a:extLst>
                  <a:ext uri="{FF2B5EF4-FFF2-40B4-BE49-F238E27FC236}">
                    <a16:creationId xmlns:a16="http://schemas.microsoft.com/office/drawing/2014/main" id="{00000000-0008-0000-1000-000059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a:extLst>
                  <a:ext uri="{FF2B5EF4-FFF2-40B4-BE49-F238E27FC236}">
                    <a16:creationId xmlns:a16="http://schemas.microsoft.com/office/drawing/2014/main" id="{00000000-0008-0000-1000-00005A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91" name="Straight Connector 90">
                <a:extLst>
                  <a:ext uri="{FF2B5EF4-FFF2-40B4-BE49-F238E27FC236}">
                    <a16:creationId xmlns:a16="http://schemas.microsoft.com/office/drawing/2014/main" id="{00000000-0008-0000-1000-00005B000000}"/>
                  </a:ext>
                </a:extLst>
              </xdr:cNvPr>
              <xdr:cNvCxnSpPr>
                <a:endCxn id="79"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1000-00005C000000}"/>
                  </a:ext>
                </a:extLst>
              </xdr:cNvPr>
              <xdr:cNvCxnSpPr>
                <a:endCxn id="88"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grpSp>
        <xdr:nvGrpSpPr>
          <xdr:cNvPr id="7" name="Group 6">
            <a:extLst>
              <a:ext uri="{FF2B5EF4-FFF2-40B4-BE49-F238E27FC236}">
                <a16:creationId xmlns:a16="http://schemas.microsoft.com/office/drawing/2014/main" id="{00000000-0008-0000-1000-000007000000}"/>
              </a:ext>
            </a:extLst>
          </xdr:cNvPr>
          <xdr:cNvGrpSpPr/>
        </xdr:nvGrpSpPr>
        <xdr:grpSpPr>
          <a:xfrm>
            <a:off x="8881214" y="6908980"/>
            <a:ext cx="853336" cy="5267303"/>
            <a:chOff x="7995389" y="6899455"/>
            <a:chExt cx="853336" cy="5267303"/>
          </a:xfrm>
        </xdr:grpSpPr>
        <xdr:grpSp>
          <xdr:nvGrpSpPr>
            <xdr:cNvPr id="14" name="Group 13">
              <a:extLst>
                <a:ext uri="{FF2B5EF4-FFF2-40B4-BE49-F238E27FC236}">
                  <a16:creationId xmlns:a16="http://schemas.microsoft.com/office/drawing/2014/main" id="{00000000-0008-0000-1000-00000E000000}"/>
                </a:ext>
              </a:extLst>
            </xdr:cNvPr>
            <xdr:cNvGrpSpPr/>
          </xdr:nvGrpSpPr>
          <xdr:grpSpPr>
            <a:xfrm>
              <a:off x="7995389" y="6918505"/>
              <a:ext cx="529486" cy="5248253"/>
              <a:chOff x="7995389" y="6918505"/>
              <a:chExt cx="529486" cy="5248253"/>
            </a:xfrm>
          </xdr:grpSpPr>
          <xdr:sp macro="" textlink="">
            <xdr:nvSpPr>
              <xdr:cNvPr id="41" name="Rectangle 40">
                <a:extLst>
                  <a:ext uri="{FF2B5EF4-FFF2-40B4-BE49-F238E27FC236}">
                    <a16:creationId xmlns:a16="http://schemas.microsoft.com/office/drawing/2014/main" id="{00000000-0008-0000-1000-000029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Rectangle 41">
                <a:extLst>
                  <a:ext uri="{FF2B5EF4-FFF2-40B4-BE49-F238E27FC236}">
                    <a16:creationId xmlns:a16="http://schemas.microsoft.com/office/drawing/2014/main" id="{00000000-0008-0000-1000-00002A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00000000-0008-0000-1000-00002B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Rectangle 43">
                <a:extLst>
                  <a:ext uri="{FF2B5EF4-FFF2-40B4-BE49-F238E27FC236}">
                    <a16:creationId xmlns:a16="http://schemas.microsoft.com/office/drawing/2014/main" id="{00000000-0008-0000-1000-00002C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5" name="Rectangle 44">
                <a:extLst>
                  <a:ext uri="{FF2B5EF4-FFF2-40B4-BE49-F238E27FC236}">
                    <a16:creationId xmlns:a16="http://schemas.microsoft.com/office/drawing/2014/main" id="{00000000-0008-0000-1000-00002D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Rectangle 45">
                <a:extLst>
                  <a:ext uri="{FF2B5EF4-FFF2-40B4-BE49-F238E27FC236}">
                    <a16:creationId xmlns:a16="http://schemas.microsoft.com/office/drawing/2014/main" id="{00000000-0008-0000-1000-00002E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Rectangle 46">
                <a:extLst>
                  <a:ext uri="{FF2B5EF4-FFF2-40B4-BE49-F238E27FC236}">
                    <a16:creationId xmlns:a16="http://schemas.microsoft.com/office/drawing/2014/main" id="{00000000-0008-0000-1000-00002F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Rectangle 47">
                <a:extLst>
                  <a:ext uri="{FF2B5EF4-FFF2-40B4-BE49-F238E27FC236}">
                    <a16:creationId xmlns:a16="http://schemas.microsoft.com/office/drawing/2014/main" id="{00000000-0008-0000-1000-000030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Rectangle 48">
                <a:extLst>
                  <a:ext uri="{FF2B5EF4-FFF2-40B4-BE49-F238E27FC236}">
                    <a16:creationId xmlns:a16="http://schemas.microsoft.com/office/drawing/2014/main" id="{00000000-0008-0000-1000-000031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Freeform 49">
                <a:extLst>
                  <a:ext uri="{FF2B5EF4-FFF2-40B4-BE49-F238E27FC236}">
                    <a16:creationId xmlns:a16="http://schemas.microsoft.com/office/drawing/2014/main" id="{00000000-0008-0000-1000-000032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51" name="Straight Connector 50">
                <a:extLst>
                  <a:ext uri="{FF2B5EF4-FFF2-40B4-BE49-F238E27FC236}">
                    <a16:creationId xmlns:a16="http://schemas.microsoft.com/office/drawing/2014/main" id="{00000000-0008-0000-1000-000033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Freeform 51">
                <a:extLst>
                  <a:ext uri="{FF2B5EF4-FFF2-40B4-BE49-F238E27FC236}">
                    <a16:creationId xmlns:a16="http://schemas.microsoft.com/office/drawing/2014/main" id="{00000000-0008-0000-1000-000034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Freeform 52">
                <a:extLst>
                  <a:ext uri="{FF2B5EF4-FFF2-40B4-BE49-F238E27FC236}">
                    <a16:creationId xmlns:a16="http://schemas.microsoft.com/office/drawing/2014/main" id="{00000000-0008-0000-1000-000035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4" name="Freeform 53">
                <a:extLst>
                  <a:ext uri="{FF2B5EF4-FFF2-40B4-BE49-F238E27FC236}">
                    <a16:creationId xmlns:a16="http://schemas.microsoft.com/office/drawing/2014/main" id="{00000000-0008-0000-1000-000036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Freeform 54">
                <a:extLst>
                  <a:ext uri="{FF2B5EF4-FFF2-40B4-BE49-F238E27FC236}">
                    <a16:creationId xmlns:a16="http://schemas.microsoft.com/office/drawing/2014/main" id="{00000000-0008-0000-1000-000037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 name="Freeform 55">
                <a:extLst>
                  <a:ext uri="{FF2B5EF4-FFF2-40B4-BE49-F238E27FC236}">
                    <a16:creationId xmlns:a16="http://schemas.microsoft.com/office/drawing/2014/main" id="{00000000-0008-0000-1000-000038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a:extLst>
                  <a:ext uri="{FF2B5EF4-FFF2-40B4-BE49-F238E27FC236}">
                    <a16:creationId xmlns:a16="http://schemas.microsoft.com/office/drawing/2014/main" id="{00000000-0008-0000-1000-000039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Freeform 57">
                <a:extLst>
                  <a:ext uri="{FF2B5EF4-FFF2-40B4-BE49-F238E27FC236}">
                    <a16:creationId xmlns:a16="http://schemas.microsoft.com/office/drawing/2014/main" id="{00000000-0008-0000-1000-00003A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9" name="Freeform 58">
                <a:extLst>
                  <a:ext uri="{FF2B5EF4-FFF2-40B4-BE49-F238E27FC236}">
                    <a16:creationId xmlns:a16="http://schemas.microsoft.com/office/drawing/2014/main" id="{00000000-0008-0000-1000-00003B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Freeform 59">
                <a:extLst>
                  <a:ext uri="{FF2B5EF4-FFF2-40B4-BE49-F238E27FC236}">
                    <a16:creationId xmlns:a16="http://schemas.microsoft.com/office/drawing/2014/main" id="{00000000-0008-0000-1000-00003C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 name="Freeform 60">
                <a:extLst>
                  <a:ext uri="{FF2B5EF4-FFF2-40B4-BE49-F238E27FC236}">
                    <a16:creationId xmlns:a16="http://schemas.microsoft.com/office/drawing/2014/main" id="{00000000-0008-0000-1000-00003D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Freeform 61">
                <a:extLst>
                  <a:ext uri="{FF2B5EF4-FFF2-40B4-BE49-F238E27FC236}">
                    <a16:creationId xmlns:a16="http://schemas.microsoft.com/office/drawing/2014/main" id="{00000000-0008-0000-1000-00003E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Freeform 62">
                <a:extLst>
                  <a:ext uri="{FF2B5EF4-FFF2-40B4-BE49-F238E27FC236}">
                    <a16:creationId xmlns:a16="http://schemas.microsoft.com/office/drawing/2014/main" id="{00000000-0008-0000-1000-00003F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4" name="Straight Connector 63">
                <a:extLst>
                  <a:ext uri="{FF2B5EF4-FFF2-40B4-BE49-F238E27FC236}">
                    <a16:creationId xmlns:a16="http://schemas.microsoft.com/office/drawing/2014/main" id="{00000000-0008-0000-1000-000040000000}"/>
                  </a:ext>
                </a:extLst>
              </xdr:cNvPr>
              <xdr:cNvCxnSpPr>
                <a:endCxn id="52"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00000000-0008-0000-1000-000041000000}"/>
                  </a:ext>
                </a:extLst>
              </xdr:cNvPr>
              <xdr:cNvCxnSpPr>
                <a:endCxn id="61"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nvGrpSpPr>
            <xdr:cNvPr id="15" name="Group 14">
              <a:extLst>
                <a:ext uri="{FF2B5EF4-FFF2-40B4-BE49-F238E27FC236}">
                  <a16:creationId xmlns:a16="http://schemas.microsoft.com/office/drawing/2014/main" id="{00000000-0008-0000-1000-00000F000000}"/>
                </a:ext>
              </a:extLst>
            </xdr:cNvPr>
            <xdr:cNvGrpSpPr/>
          </xdr:nvGrpSpPr>
          <xdr:grpSpPr>
            <a:xfrm flipV="1">
              <a:off x="8319239" y="6899455"/>
              <a:ext cx="529486" cy="5248253"/>
              <a:chOff x="7995389" y="6918505"/>
              <a:chExt cx="529486" cy="5248253"/>
            </a:xfrm>
          </xdr:grpSpPr>
          <xdr:sp macro="" textlink="">
            <xdr:nvSpPr>
              <xdr:cNvPr id="16" name="Rectangle 15">
                <a:extLst>
                  <a:ext uri="{FF2B5EF4-FFF2-40B4-BE49-F238E27FC236}">
                    <a16:creationId xmlns:a16="http://schemas.microsoft.com/office/drawing/2014/main" id="{00000000-0008-0000-1000-000010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1000-000011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1000-000012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1000-000013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a:extLst>
                  <a:ext uri="{FF2B5EF4-FFF2-40B4-BE49-F238E27FC236}">
                    <a16:creationId xmlns:a16="http://schemas.microsoft.com/office/drawing/2014/main" id="{00000000-0008-0000-1000-000014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20">
                <a:extLst>
                  <a:ext uri="{FF2B5EF4-FFF2-40B4-BE49-F238E27FC236}">
                    <a16:creationId xmlns:a16="http://schemas.microsoft.com/office/drawing/2014/main" id="{00000000-0008-0000-1000-000015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Rectangle 21">
                <a:extLst>
                  <a:ext uri="{FF2B5EF4-FFF2-40B4-BE49-F238E27FC236}">
                    <a16:creationId xmlns:a16="http://schemas.microsoft.com/office/drawing/2014/main" id="{00000000-0008-0000-1000-000016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22">
                <a:extLst>
                  <a:ext uri="{FF2B5EF4-FFF2-40B4-BE49-F238E27FC236}">
                    <a16:creationId xmlns:a16="http://schemas.microsoft.com/office/drawing/2014/main" id="{00000000-0008-0000-1000-000017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Rectangle 23">
                <a:extLst>
                  <a:ext uri="{FF2B5EF4-FFF2-40B4-BE49-F238E27FC236}">
                    <a16:creationId xmlns:a16="http://schemas.microsoft.com/office/drawing/2014/main" id="{00000000-0008-0000-1000-000018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Freeform 24">
                <a:extLst>
                  <a:ext uri="{FF2B5EF4-FFF2-40B4-BE49-F238E27FC236}">
                    <a16:creationId xmlns:a16="http://schemas.microsoft.com/office/drawing/2014/main" id="{00000000-0008-0000-1000-000019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6" name="Straight Connector 25">
                <a:extLst>
                  <a:ext uri="{FF2B5EF4-FFF2-40B4-BE49-F238E27FC236}">
                    <a16:creationId xmlns:a16="http://schemas.microsoft.com/office/drawing/2014/main" id="{00000000-0008-0000-1000-00001A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27" name="Freeform 26">
                <a:extLst>
                  <a:ext uri="{FF2B5EF4-FFF2-40B4-BE49-F238E27FC236}">
                    <a16:creationId xmlns:a16="http://schemas.microsoft.com/office/drawing/2014/main" id="{00000000-0008-0000-1000-00001B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a:extLst>
                  <a:ext uri="{FF2B5EF4-FFF2-40B4-BE49-F238E27FC236}">
                    <a16:creationId xmlns:a16="http://schemas.microsoft.com/office/drawing/2014/main" id="{00000000-0008-0000-1000-00001C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a:extLst>
                  <a:ext uri="{FF2B5EF4-FFF2-40B4-BE49-F238E27FC236}">
                    <a16:creationId xmlns:a16="http://schemas.microsoft.com/office/drawing/2014/main" id="{00000000-0008-0000-1000-00001D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Freeform 29">
                <a:extLst>
                  <a:ext uri="{FF2B5EF4-FFF2-40B4-BE49-F238E27FC236}">
                    <a16:creationId xmlns:a16="http://schemas.microsoft.com/office/drawing/2014/main" id="{00000000-0008-0000-1000-00001E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Freeform 30">
                <a:extLst>
                  <a:ext uri="{FF2B5EF4-FFF2-40B4-BE49-F238E27FC236}">
                    <a16:creationId xmlns:a16="http://schemas.microsoft.com/office/drawing/2014/main" id="{00000000-0008-0000-1000-00001F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Freeform 31">
                <a:extLst>
                  <a:ext uri="{FF2B5EF4-FFF2-40B4-BE49-F238E27FC236}">
                    <a16:creationId xmlns:a16="http://schemas.microsoft.com/office/drawing/2014/main" id="{00000000-0008-0000-1000-000020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Freeform 32">
                <a:extLst>
                  <a:ext uri="{FF2B5EF4-FFF2-40B4-BE49-F238E27FC236}">
                    <a16:creationId xmlns:a16="http://schemas.microsoft.com/office/drawing/2014/main" id="{00000000-0008-0000-1000-000021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Freeform 33">
                <a:extLst>
                  <a:ext uri="{FF2B5EF4-FFF2-40B4-BE49-F238E27FC236}">
                    <a16:creationId xmlns:a16="http://schemas.microsoft.com/office/drawing/2014/main" id="{00000000-0008-0000-1000-000022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Freeform 34">
                <a:extLst>
                  <a:ext uri="{FF2B5EF4-FFF2-40B4-BE49-F238E27FC236}">
                    <a16:creationId xmlns:a16="http://schemas.microsoft.com/office/drawing/2014/main" id="{00000000-0008-0000-1000-000023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Freeform 35">
                <a:extLst>
                  <a:ext uri="{FF2B5EF4-FFF2-40B4-BE49-F238E27FC236}">
                    <a16:creationId xmlns:a16="http://schemas.microsoft.com/office/drawing/2014/main" id="{00000000-0008-0000-1000-000024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Freeform 36">
                <a:extLst>
                  <a:ext uri="{FF2B5EF4-FFF2-40B4-BE49-F238E27FC236}">
                    <a16:creationId xmlns:a16="http://schemas.microsoft.com/office/drawing/2014/main" id="{00000000-0008-0000-1000-000025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Freeform 37">
                <a:extLst>
                  <a:ext uri="{FF2B5EF4-FFF2-40B4-BE49-F238E27FC236}">
                    <a16:creationId xmlns:a16="http://schemas.microsoft.com/office/drawing/2014/main" id="{00000000-0008-0000-1000-000026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9" name="Straight Connector 38">
                <a:extLst>
                  <a:ext uri="{FF2B5EF4-FFF2-40B4-BE49-F238E27FC236}">
                    <a16:creationId xmlns:a16="http://schemas.microsoft.com/office/drawing/2014/main" id="{00000000-0008-0000-1000-000027000000}"/>
                  </a:ext>
                </a:extLst>
              </xdr:cNvPr>
              <xdr:cNvCxnSpPr>
                <a:endCxn id="27"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40" name="Straight Connector 39">
                <a:extLst>
                  <a:ext uri="{FF2B5EF4-FFF2-40B4-BE49-F238E27FC236}">
                    <a16:creationId xmlns:a16="http://schemas.microsoft.com/office/drawing/2014/main" id="{00000000-0008-0000-1000-000028000000}"/>
                  </a:ext>
                </a:extLst>
              </xdr:cNvPr>
              <xdr:cNvCxnSpPr>
                <a:endCxn id="36"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sp macro="" textlink="">
        <xdr:nvSpPr>
          <xdr:cNvPr id="8" name="Rectangle 7">
            <a:extLst>
              <a:ext uri="{FF2B5EF4-FFF2-40B4-BE49-F238E27FC236}">
                <a16:creationId xmlns:a16="http://schemas.microsoft.com/office/drawing/2014/main" id="{00000000-0008-0000-1000-000008000000}"/>
              </a:ext>
            </a:extLst>
          </xdr:cNvPr>
          <xdr:cNvSpPr/>
        </xdr:nvSpPr>
        <xdr:spPr>
          <a:xfrm>
            <a:off x="8181975" y="6886575"/>
            <a:ext cx="1714500" cy="542925"/>
          </a:xfrm>
          <a:prstGeom prst="rect">
            <a:avLst/>
          </a:prstGeom>
          <a:solidFill>
            <a:schemeClr val="bg2">
              <a:lumMod val="90000"/>
              <a:alpha val="68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9" name="Straight Connector 8">
            <a:extLst>
              <a:ext uri="{FF2B5EF4-FFF2-40B4-BE49-F238E27FC236}">
                <a16:creationId xmlns:a16="http://schemas.microsoft.com/office/drawing/2014/main" id="{00000000-0008-0000-1000-000009000000}"/>
              </a:ext>
            </a:extLst>
          </xdr:cNvPr>
          <xdr:cNvCxnSpPr/>
        </xdr:nvCxnSpPr>
        <xdr:spPr>
          <a:xfrm>
            <a:off x="7867650" y="6867525"/>
            <a:ext cx="2133600" cy="0"/>
          </a:xfrm>
          <a:prstGeom prst="line">
            <a:avLst/>
          </a:prstGeom>
          <a:ln w="254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AutoShape 247">
            <a:extLst>
              <a:ext uri="{FF2B5EF4-FFF2-40B4-BE49-F238E27FC236}">
                <a16:creationId xmlns:a16="http://schemas.microsoft.com/office/drawing/2014/main" id="{00000000-0008-0000-1000-00000A000000}"/>
              </a:ext>
            </a:extLst>
          </xdr:cNvPr>
          <xdr:cNvSpPr>
            <a:spLocks/>
          </xdr:cNvSpPr>
        </xdr:nvSpPr>
        <xdr:spPr bwMode="auto">
          <a:xfrm>
            <a:off x="7705725" y="12344400"/>
            <a:ext cx="1781175" cy="371476"/>
          </a:xfrm>
          <a:prstGeom prst="callout2">
            <a:avLst>
              <a:gd name="adj1" fmla="val 15792"/>
              <a:gd name="adj2" fmla="val 104278"/>
              <a:gd name="adj3" fmla="val 15792"/>
              <a:gd name="adj4" fmla="val 117111"/>
              <a:gd name="adj5" fmla="val -174090"/>
              <a:gd name="adj6" fmla="val 110162"/>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Cell Sleeves</a:t>
            </a:r>
          </a:p>
        </xdr:txBody>
      </xdr:sp>
      <xdr:cxnSp macro="">
        <xdr:nvCxnSpPr>
          <xdr:cNvPr id="11" name="Straight Arrow Connector 10">
            <a:extLst>
              <a:ext uri="{FF2B5EF4-FFF2-40B4-BE49-F238E27FC236}">
                <a16:creationId xmlns:a16="http://schemas.microsoft.com/office/drawing/2014/main" id="{00000000-0008-0000-1000-00000B000000}"/>
              </a:ext>
            </a:extLst>
          </xdr:cNvPr>
          <xdr:cNvCxnSpPr/>
        </xdr:nvCxnSpPr>
        <xdr:spPr>
          <a:xfrm flipH="1" flipV="1">
            <a:off x="9344025" y="11734800"/>
            <a:ext cx="447675" cy="676275"/>
          </a:xfrm>
          <a:prstGeom prst="straightConnector1">
            <a:avLst/>
          </a:prstGeom>
          <a:ln>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12" name="AutoShape 247">
            <a:extLst>
              <a:ext uri="{FF2B5EF4-FFF2-40B4-BE49-F238E27FC236}">
                <a16:creationId xmlns:a16="http://schemas.microsoft.com/office/drawing/2014/main" id="{00000000-0008-0000-1000-00000C000000}"/>
              </a:ext>
            </a:extLst>
          </xdr:cNvPr>
          <xdr:cNvSpPr>
            <a:spLocks/>
          </xdr:cNvSpPr>
        </xdr:nvSpPr>
        <xdr:spPr bwMode="auto">
          <a:xfrm>
            <a:off x="6924675" y="11068049"/>
            <a:ext cx="1209675" cy="733425"/>
          </a:xfrm>
          <a:prstGeom prst="callout2">
            <a:avLst>
              <a:gd name="adj1" fmla="val 15792"/>
              <a:gd name="adj2" fmla="val 104278"/>
              <a:gd name="adj3" fmla="val 15792"/>
              <a:gd name="adj4" fmla="val 117111"/>
              <a:gd name="adj5" fmla="val -20843"/>
              <a:gd name="adj6" fmla="val 147957"/>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Air Flow Channels</a:t>
            </a:r>
          </a:p>
        </xdr:txBody>
      </xdr:sp>
      <xdr:cxnSp macro="">
        <xdr:nvCxnSpPr>
          <xdr:cNvPr id="13" name="Straight Arrow Connector 12">
            <a:extLst>
              <a:ext uri="{FF2B5EF4-FFF2-40B4-BE49-F238E27FC236}">
                <a16:creationId xmlns:a16="http://schemas.microsoft.com/office/drawing/2014/main" id="{00000000-0008-0000-1000-00000D000000}"/>
              </a:ext>
            </a:extLst>
          </xdr:cNvPr>
          <xdr:cNvCxnSpPr/>
        </xdr:nvCxnSpPr>
        <xdr:spPr>
          <a:xfrm flipV="1">
            <a:off x="8343900" y="10344151"/>
            <a:ext cx="714376" cy="838199"/>
          </a:xfrm>
          <a:prstGeom prst="straightConnector1">
            <a:avLst/>
          </a:prstGeom>
          <a:ln>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47626</xdr:colOff>
      <xdr:row>0</xdr:row>
      <xdr:rowOff>152401</xdr:rowOff>
    </xdr:from>
    <xdr:to>
      <xdr:col>22</xdr:col>
      <xdr:colOff>485776</xdr:colOff>
      <xdr:row>44</xdr:row>
      <xdr:rowOff>73024</xdr:rowOff>
    </xdr:to>
    <xdr:grpSp>
      <xdr:nvGrpSpPr>
        <xdr:cNvPr id="176" name="Group 175">
          <a:extLst>
            <a:ext uri="{FF2B5EF4-FFF2-40B4-BE49-F238E27FC236}">
              <a16:creationId xmlns:a16="http://schemas.microsoft.com/office/drawing/2014/main" id="{00000000-0008-0000-1000-0000B0000000}"/>
            </a:ext>
          </a:extLst>
        </xdr:cNvPr>
        <xdr:cNvGrpSpPr/>
      </xdr:nvGrpSpPr>
      <xdr:grpSpPr>
        <a:xfrm>
          <a:off x="47626" y="152401"/>
          <a:ext cx="15246350" cy="7185023"/>
          <a:chOff x="0" y="95251"/>
          <a:chExt cx="14030325" cy="7043736"/>
        </a:xfrm>
      </xdr:grpSpPr>
      <xdr:sp macro="" textlink="">
        <xdr:nvSpPr>
          <xdr:cNvPr id="177" name="Freeform 3">
            <a:extLst>
              <a:ext uri="{FF2B5EF4-FFF2-40B4-BE49-F238E27FC236}">
                <a16:creationId xmlns:a16="http://schemas.microsoft.com/office/drawing/2014/main" id="{00000000-0008-0000-1000-0000B1000000}"/>
              </a:ext>
            </a:extLst>
          </xdr:cNvPr>
          <xdr:cNvSpPr>
            <a:spLocks/>
          </xdr:cNvSpPr>
        </xdr:nvSpPr>
        <xdr:spPr bwMode="auto">
          <a:xfrm>
            <a:off x="3429000" y="1943100"/>
            <a:ext cx="2019300" cy="942975"/>
          </a:xfrm>
          <a:custGeom>
            <a:avLst/>
            <a:gdLst>
              <a:gd name="T0" fmla="*/ 0 w 182"/>
              <a:gd name="T1" fmla="*/ 2147483647 h 84"/>
              <a:gd name="T2" fmla="*/ 2147483647 w 182"/>
              <a:gd name="T3" fmla="*/ 2147483647 h 84"/>
              <a:gd name="T4" fmla="*/ 2147483647 w 182"/>
              <a:gd name="T5" fmla="*/ 2147483647 h 84"/>
              <a:gd name="T6" fmla="*/ 2147483647 w 182"/>
              <a:gd name="T7" fmla="*/ 2147483647 h 84"/>
              <a:gd name="T8" fmla="*/ 2147483647 w 182"/>
              <a:gd name="T9" fmla="*/ 0 h 84"/>
              <a:gd name="T10" fmla="*/ 2147483647 w 182"/>
              <a:gd name="T11" fmla="*/ 0 h 84"/>
              <a:gd name="T12" fmla="*/ 2147483647 w 182"/>
              <a:gd name="T13" fmla="*/ 2147483647 h 84"/>
              <a:gd name="T14" fmla="*/ 2147483647 w 182"/>
              <a:gd name="T15" fmla="*/ 2147483647 h 84"/>
              <a:gd name="T16" fmla="*/ 0 w 182"/>
              <a:gd name="T17" fmla="*/ 2147483647 h 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2"/>
              <a:gd name="T28" fmla="*/ 0 h 84"/>
              <a:gd name="T29" fmla="*/ 182 w 182"/>
              <a:gd name="T30" fmla="*/ 84 h 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2" h="84">
                <a:moveTo>
                  <a:pt x="0" y="83"/>
                </a:moveTo>
                <a:lnTo>
                  <a:pt x="1" y="64"/>
                </a:lnTo>
                <a:lnTo>
                  <a:pt x="59" y="6"/>
                </a:lnTo>
                <a:lnTo>
                  <a:pt x="77" y="2"/>
                </a:lnTo>
                <a:lnTo>
                  <a:pt x="105" y="0"/>
                </a:lnTo>
                <a:lnTo>
                  <a:pt x="151" y="0"/>
                </a:lnTo>
                <a:lnTo>
                  <a:pt x="182" y="2"/>
                </a:lnTo>
                <a:lnTo>
                  <a:pt x="112" y="84"/>
                </a:lnTo>
                <a:lnTo>
                  <a:pt x="0" y="83"/>
                </a:lnTo>
                <a:close/>
              </a:path>
            </a:pathLst>
          </a:custGeom>
          <a:solidFill>
            <a:srgbClr val="FFFFFF"/>
          </a:solidFill>
          <a:ln w="9525">
            <a:noFill/>
            <a:round/>
            <a:headEnd/>
            <a:tailEnd/>
          </a:ln>
        </xdr:spPr>
      </xdr:sp>
      <xdr:sp macro="" textlink="">
        <xdr:nvSpPr>
          <xdr:cNvPr id="178" name="AutoShape 4">
            <a:extLst>
              <a:ext uri="{FF2B5EF4-FFF2-40B4-BE49-F238E27FC236}">
                <a16:creationId xmlns:a16="http://schemas.microsoft.com/office/drawing/2014/main" id="{00000000-0008-0000-1000-0000B2000000}"/>
              </a:ext>
            </a:extLst>
          </xdr:cNvPr>
          <xdr:cNvSpPr>
            <a:spLocks noChangeArrowheads="1"/>
          </xdr:cNvSpPr>
        </xdr:nvSpPr>
        <xdr:spPr bwMode="auto">
          <a:xfrm>
            <a:off x="4419600" y="952500"/>
            <a:ext cx="3219450" cy="3314700"/>
          </a:xfrm>
          <a:prstGeom prst="roundRect">
            <a:avLst>
              <a:gd name="adj" fmla="val 7745"/>
            </a:avLst>
          </a:prstGeom>
          <a:solidFill>
            <a:srgbClr val="FFFFFF"/>
          </a:solidFill>
          <a:ln w="9525">
            <a:solidFill>
              <a:srgbClr val="000000"/>
            </a:solidFill>
            <a:round/>
            <a:headEnd/>
            <a:tailEnd/>
          </a:ln>
        </xdr:spPr>
      </xdr:sp>
      <xdr:sp macro="" textlink="">
        <xdr:nvSpPr>
          <xdr:cNvPr id="179" name="Freeform 5">
            <a:extLst>
              <a:ext uri="{FF2B5EF4-FFF2-40B4-BE49-F238E27FC236}">
                <a16:creationId xmlns:a16="http://schemas.microsoft.com/office/drawing/2014/main" id="{00000000-0008-0000-1000-0000B3000000}"/>
              </a:ext>
            </a:extLst>
          </xdr:cNvPr>
          <xdr:cNvSpPr>
            <a:spLocks/>
          </xdr:cNvSpPr>
        </xdr:nvSpPr>
        <xdr:spPr bwMode="auto">
          <a:xfrm>
            <a:off x="2657475" y="1009650"/>
            <a:ext cx="1847850" cy="1866900"/>
          </a:xfrm>
          <a:custGeom>
            <a:avLst/>
            <a:gdLst>
              <a:gd name="T0" fmla="*/ 0 w 167"/>
              <a:gd name="T1" fmla="*/ 2147483647 h 166"/>
              <a:gd name="T2" fmla="*/ 2147483647 w 167"/>
              <a:gd name="T3" fmla="*/ 0 h 166"/>
              <a:gd name="T4" fmla="*/ 0 60000 65536"/>
              <a:gd name="T5" fmla="*/ 0 60000 65536"/>
              <a:gd name="T6" fmla="*/ 0 w 167"/>
              <a:gd name="T7" fmla="*/ 0 h 166"/>
              <a:gd name="T8" fmla="*/ 167 w 167"/>
              <a:gd name="T9" fmla="*/ 166 h 166"/>
            </a:gdLst>
            <a:ahLst/>
            <a:cxnLst>
              <a:cxn ang="T4">
                <a:pos x="T0" y="T1"/>
              </a:cxn>
              <a:cxn ang="T5">
                <a:pos x="T2" y="T3"/>
              </a:cxn>
            </a:cxnLst>
            <a:rect l="T6" t="T7" r="T8" b="T9"/>
            <a:pathLst>
              <a:path w="167" h="166">
                <a:moveTo>
                  <a:pt x="0" y="166"/>
                </a:moveTo>
                <a:lnTo>
                  <a:pt x="167" y="0"/>
                </a:lnTo>
              </a:path>
            </a:pathLst>
          </a:custGeom>
          <a:noFill/>
          <a:ln w="9525">
            <a:solidFill>
              <a:srgbClr val="000000"/>
            </a:solidFill>
            <a:round/>
            <a:headEnd/>
            <a:tailEnd/>
          </a:ln>
        </xdr:spPr>
      </xdr:sp>
      <xdr:sp macro="" textlink="">
        <xdr:nvSpPr>
          <xdr:cNvPr id="180" name="Freeform 6">
            <a:extLst>
              <a:ext uri="{FF2B5EF4-FFF2-40B4-BE49-F238E27FC236}">
                <a16:creationId xmlns:a16="http://schemas.microsoft.com/office/drawing/2014/main" id="{00000000-0008-0000-1000-0000B4000000}"/>
              </a:ext>
            </a:extLst>
          </xdr:cNvPr>
          <xdr:cNvSpPr>
            <a:spLocks/>
          </xdr:cNvSpPr>
        </xdr:nvSpPr>
        <xdr:spPr bwMode="auto">
          <a:xfrm>
            <a:off x="5743575" y="4200525"/>
            <a:ext cx="1828800" cy="1828800"/>
          </a:xfrm>
          <a:custGeom>
            <a:avLst/>
            <a:gdLst>
              <a:gd name="T0" fmla="*/ 0 w 165"/>
              <a:gd name="T1" fmla="*/ 2147483647 h 163"/>
              <a:gd name="T2" fmla="*/ 2147483647 w 165"/>
              <a:gd name="T3" fmla="*/ 0 h 163"/>
              <a:gd name="T4" fmla="*/ 0 60000 65536"/>
              <a:gd name="T5" fmla="*/ 0 60000 65536"/>
              <a:gd name="T6" fmla="*/ 0 w 165"/>
              <a:gd name="T7" fmla="*/ 0 h 163"/>
              <a:gd name="T8" fmla="*/ 165 w 165"/>
              <a:gd name="T9" fmla="*/ 163 h 163"/>
            </a:gdLst>
            <a:ahLst/>
            <a:cxnLst>
              <a:cxn ang="T4">
                <a:pos x="T0" y="T1"/>
              </a:cxn>
              <a:cxn ang="T5">
                <a:pos x="T2" y="T3"/>
              </a:cxn>
            </a:cxnLst>
            <a:rect l="T6" t="T7" r="T8" b="T9"/>
            <a:pathLst>
              <a:path w="165" h="163">
                <a:moveTo>
                  <a:pt x="0" y="163"/>
                </a:moveTo>
                <a:lnTo>
                  <a:pt x="165" y="0"/>
                </a:lnTo>
              </a:path>
            </a:pathLst>
          </a:custGeom>
          <a:noFill/>
          <a:ln w="9525">
            <a:solidFill>
              <a:srgbClr val="000000"/>
            </a:solidFill>
            <a:round/>
            <a:headEnd/>
            <a:tailEnd/>
          </a:ln>
        </xdr:spPr>
      </xdr:sp>
      <xdr:sp macro="" textlink="">
        <xdr:nvSpPr>
          <xdr:cNvPr id="181" name="AutoShape 7">
            <a:extLst>
              <a:ext uri="{FF2B5EF4-FFF2-40B4-BE49-F238E27FC236}">
                <a16:creationId xmlns:a16="http://schemas.microsoft.com/office/drawing/2014/main" id="{00000000-0008-0000-1000-0000B5000000}"/>
              </a:ext>
            </a:extLst>
          </xdr:cNvPr>
          <xdr:cNvSpPr>
            <a:spLocks noChangeArrowheads="1"/>
          </xdr:cNvSpPr>
        </xdr:nvSpPr>
        <xdr:spPr bwMode="auto">
          <a:xfrm>
            <a:off x="4476750" y="885825"/>
            <a:ext cx="3219450" cy="3314700"/>
          </a:xfrm>
          <a:prstGeom prst="roundRect">
            <a:avLst>
              <a:gd name="adj" fmla="val 7745"/>
            </a:avLst>
          </a:prstGeom>
          <a:solidFill>
            <a:srgbClr val="66FFCC"/>
          </a:solidFill>
          <a:ln w="19050">
            <a:solidFill>
              <a:srgbClr val="000000"/>
            </a:solidFill>
            <a:round/>
            <a:headEnd/>
            <a:tailEnd/>
          </a:ln>
        </xdr:spPr>
      </xdr:sp>
      <xdr:sp macro="" textlink="">
        <xdr:nvSpPr>
          <xdr:cNvPr id="182" name="Freeform 8">
            <a:extLst>
              <a:ext uri="{FF2B5EF4-FFF2-40B4-BE49-F238E27FC236}">
                <a16:creationId xmlns:a16="http://schemas.microsoft.com/office/drawing/2014/main" id="{00000000-0008-0000-1000-0000B6000000}"/>
              </a:ext>
            </a:extLst>
          </xdr:cNvPr>
          <xdr:cNvSpPr>
            <a:spLocks/>
          </xdr:cNvSpPr>
        </xdr:nvSpPr>
        <xdr:spPr bwMode="auto">
          <a:xfrm>
            <a:off x="2914650" y="2295525"/>
            <a:ext cx="2266950" cy="2066925"/>
          </a:xfrm>
          <a:custGeom>
            <a:avLst/>
            <a:gdLst>
              <a:gd name="T0" fmla="*/ 0 w 205"/>
              <a:gd name="T1" fmla="*/ 2147483647 h 184"/>
              <a:gd name="T2" fmla="*/ 2147483647 w 205"/>
              <a:gd name="T3" fmla="*/ 0 h 184"/>
              <a:gd name="T4" fmla="*/ 2147483647 w 205"/>
              <a:gd name="T5" fmla="*/ 0 h 184"/>
              <a:gd name="T6" fmla="*/ 2147483647 w 205"/>
              <a:gd name="T7" fmla="*/ 2147483647 h 184"/>
              <a:gd name="T8" fmla="*/ 0 w 205"/>
              <a:gd name="T9" fmla="*/ 2147483647 h 184"/>
              <a:gd name="T10" fmla="*/ 0 60000 65536"/>
              <a:gd name="T11" fmla="*/ 0 60000 65536"/>
              <a:gd name="T12" fmla="*/ 0 60000 65536"/>
              <a:gd name="T13" fmla="*/ 0 60000 65536"/>
              <a:gd name="T14" fmla="*/ 0 60000 65536"/>
              <a:gd name="T15" fmla="*/ 0 w 205"/>
              <a:gd name="T16" fmla="*/ 0 h 184"/>
              <a:gd name="T17" fmla="*/ 205 w 205"/>
              <a:gd name="T18" fmla="*/ 184 h 184"/>
            </a:gdLst>
            <a:ahLst/>
            <a:cxnLst>
              <a:cxn ang="T10">
                <a:pos x="T0" y="T1"/>
              </a:cxn>
              <a:cxn ang="T11">
                <a:pos x="T2" y="T3"/>
              </a:cxn>
              <a:cxn ang="T12">
                <a:pos x="T4" y="T5"/>
              </a:cxn>
              <a:cxn ang="T13">
                <a:pos x="T6" y="T7"/>
              </a:cxn>
              <a:cxn ang="T14">
                <a:pos x="T8" y="T9"/>
              </a:cxn>
            </a:cxnLst>
            <a:rect l="T15" t="T16" r="T17" b="T18"/>
            <a:pathLst>
              <a:path w="205" h="184">
                <a:moveTo>
                  <a:pt x="0" y="183"/>
                </a:moveTo>
                <a:lnTo>
                  <a:pt x="183" y="0"/>
                </a:lnTo>
                <a:lnTo>
                  <a:pt x="205" y="0"/>
                </a:lnTo>
                <a:lnTo>
                  <a:pt x="23" y="184"/>
                </a:lnTo>
                <a:lnTo>
                  <a:pt x="0" y="183"/>
                </a:lnTo>
                <a:close/>
              </a:path>
            </a:pathLst>
          </a:custGeom>
          <a:solidFill>
            <a:srgbClr val="FFFFFF"/>
          </a:solidFill>
          <a:ln w="9525">
            <a:solidFill>
              <a:srgbClr val="000000"/>
            </a:solidFill>
            <a:round/>
            <a:headEnd/>
            <a:tailEnd/>
          </a:ln>
        </xdr:spPr>
      </xdr:sp>
      <xdr:sp macro="" textlink="">
        <xdr:nvSpPr>
          <xdr:cNvPr id="183" name="Freeform 9">
            <a:extLst>
              <a:ext uri="{FF2B5EF4-FFF2-40B4-BE49-F238E27FC236}">
                <a16:creationId xmlns:a16="http://schemas.microsoft.com/office/drawing/2014/main" id="{00000000-0008-0000-1000-0000B7000000}"/>
              </a:ext>
            </a:extLst>
          </xdr:cNvPr>
          <xdr:cNvSpPr>
            <a:spLocks/>
          </xdr:cNvSpPr>
        </xdr:nvSpPr>
        <xdr:spPr bwMode="auto">
          <a:xfrm>
            <a:off x="3267075" y="2295525"/>
            <a:ext cx="2266950" cy="2066925"/>
          </a:xfrm>
          <a:custGeom>
            <a:avLst/>
            <a:gdLst>
              <a:gd name="T0" fmla="*/ 0 w 205"/>
              <a:gd name="T1" fmla="*/ 2147483647 h 184"/>
              <a:gd name="T2" fmla="*/ 2147483647 w 205"/>
              <a:gd name="T3" fmla="*/ 0 h 184"/>
              <a:gd name="T4" fmla="*/ 2147483647 w 205"/>
              <a:gd name="T5" fmla="*/ 0 h 184"/>
              <a:gd name="T6" fmla="*/ 2147483647 w 205"/>
              <a:gd name="T7" fmla="*/ 2147483647 h 184"/>
              <a:gd name="T8" fmla="*/ 0 w 205"/>
              <a:gd name="T9" fmla="*/ 2147483647 h 184"/>
              <a:gd name="T10" fmla="*/ 0 60000 65536"/>
              <a:gd name="T11" fmla="*/ 0 60000 65536"/>
              <a:gd name="T12" fmla="*/ 0 60000 65536"/>
              <a:gd name="T13" fmla="*/ 0 60000 65536"/>
              <a:gd name="T14" fmla="*/ 0 60000 65536"/>
              <a:gd name="T15" fmla="*/ 0 w 205"/>
              <a:gd name="T16" fmla="*/ 0 h 184"/>
              <a:gd name="T17" fmla="*/ 205 w 205"/>
              <a:gd name="T18" fmla="*/ 184 h 184"/>
            </a:gdLst>
            <a:ahLst/>
            <a:cxnLst>
              <a:cxn ang="T10">
                <a:pos x="T0" y="T1"/>
              </a:cxn>
              <a:cxn ang="T11">
                <a:pos x="T2" y="T3"/>
              </a:cxn>
              <a:cxn ang="T12">
                <a:pos x="T4" y="T5"/>
              </a:cxn>
              <a:cxn ang="T13">
                <a:pos x="T6" y="T7"/>
              </a:cxn>
              <a:cxn ang="T14">
                <a:pos x="T8" y="T9"/>
              </a:cxn>
            </a:cxnLst>
            <a:rect l="T15" t="T16" r="T17" b="T18"/>
            <a:pathLst>
              <a:path w="205" h="184">
                <a:moveTo>
                  <a:pt x="0" y="183"/>
                </a:moveTo>
                <a:lnTo>
                  <a:pt x="183" y="0"/>
                </a:lnTo>
                <a:lnTo>
                  <a:pt x="205" y="0"/>
                </a:lnTo>
                <a:lnTo>
                  <a:pt x="23" y="184"/>
                </a:lnTo>
                <a:lnTo>
                  <a:pt x="0" y="183"/>
                </a:lnTo>
                <a:close/>
              </a:path>
            </a:pathLst>
          </a:custGeom>
          <a:solidFill>
            <a:srgbClr val="FFFFFF"/>
          </a:solidFill>
          <a:ln w="9525">
            <a:solidFill>
              <a:srgbClr val="000000"/>
            </a:solidFill>
            <a:round/>
            <a:headEnd/>
            <a:tailEnd/>
          </a:ln>
        </xdr:spPr>
      </xdr:sp>
      <xdr:sp macro="" textlink="">
        <xdr:nvSpPr>
          <xdr:cNvPr id="184" name="Freeform 10">
            <a:extLst>
              <a:ext uri="{FF2B5EF4-FFF2-40B4-BE49-F238E27FC236}">
                <a16:creationId xmlns:a16="http://schemas.microsoft.com/office/drawing/2014/main" id="{00000000-0008-0000-1000-0000B8000000}"/>
              </a:ext>
            </a:extLst>
          </xdr:cNvPr>
          <xdr:cNvSpPr>
            <a:spLocks/>
          </xdr:cNvSpPr>
        </xdr:nvSpPr>
        <xdr:spPr bwMode="auto">
          <a:xfrm>
            <a:off x="2686050" y="952500"/>
            <a:ext cx="4953000" cy="5048250"/>
          </a:xfrm>
          <a:custGeom>
            <a:avLst/>
            <a:gdLst>
              <a:gd name="T0" fmla="*/ 0 w 520"/>
              <a:gd name="T1" fmla="*/ 2147483647 h 530"/>
              <a:gd name="T2" fmla="*/ 2147483647 w 520"/>
              <a:gd name="T3" fmla="*/ 2147483647 h 530"/>
              <a:gd name="T4" fmla="*/ 2147483647 w 520"/>
              <a:gd name="T5" fmla="*/ 2147483647 h 530"/>
              <a:gd name="T6" fmla="*/ 2147483647 w 520"/>
              <a:gd name="T7" fmla="*/ 2147483647 h 530"/>
              <a:gd name="T8" fmla="*/ 2147483647 w 520"/>
              <a:gd name="T9" fmla="*/ 2147483647 h 530"/>
              <a:gd name="T10" fmla="*/ 2147483647 w 520"/>
              <a:gd name="T11" fmla="*/ 2147483647 h 530"/>
              <a:gd name="T12" fmla="*/ 2147483647 w 520"/>
              <a:gd name="T13" fmla="*/ 2147483647 h 530"/>
              <a:gd name="T14" fmla="*/ 2147483647 w 520"/>
              <a:gd name="T15" fmla="*/ 2147483647 h 530"/>
              <a:gd name="T16" fmla="*/ 2147483647 w 520"/>
              <a:gd name="T17" fmla="*/ 2147483647 h 530"/>
              <a:gd name="T18" fmla="*/ 2147483647 w 520"/>
              <a:gd name="T19" fmla="*/ 2147483647 h 530"/>
              <a:gd name="T20" fmla="*/ 2147483647 w 520"/>
              <a:gd name="T21" fmla="*/ 2147483647 h 530"/>
              <a:gd name="T22" fmla="*/ 2147483647 w 520"/>
              <a:gd name="T23" fmla="*/ 2147483647 h 530"/>
              <a:gd name="T24" fmla="*/ 2147483647 w 520"/>
              <a:gd name="T25" fmla="*/ 2147483647 h 530"/>
              <a:gd name="T26" fmla="*/ 2147483647 w 520"/>
              <a:gd name="T27" fmla="*/ 2147483647 h 530"/>
              <a:gd name="T28" fmla="*/ 2147483647 w 520"/>
              <a:gd name="T29" fmla="*/ 0 h 530"/>
              <a:gd name="T30" fmla="*/ 2147483647 w 520"/>
              <a:gd name="T31" fmla="*/ 0 h 530"/>
              <a:gd name="T32" fmla="*/ 2147483647 w 520"/>
              <a:gd name="T33" fmla="*/ 0 h 530"/>
              <a:gd name="T34" fmla="*/ 2147483647 w 520"/>
              <a:gd name="T35" fmla="*/ 0 h 530"/>
              <a:gd name="T36" fmla="*/ 2147483647 w 520"/>
              <a:gd name="T37" fmla="*/ 0 h 530"/>
              <a:gd name="T38" fmla="*/ 2147483647 w 520"/>
              <a:gd name="T39" fmla="*/ 2147483647 h 530"/>
              <a:gd name="T40" fmla="*/ 2147483647 w 520"/>
              <a:gd name="T41" fmla="*/ 2147483647 h 530"/>
              <a:gd name="T42" fmla="*/ 2147483647 w 520"/>
              <a:gd name="T43" fmla="*/ 2147483647 h 530"/>
              <a:gd name="T44" fmla="*/ 2147483647 w 520"/>
              <a:gd name="T45" fmla="*/ 2147483647 h 530"/>
              <a:gd name="T46" fmla="*/ 2147483647 w 520"/>
              <a:gd name="T47" fmla="*/ 2147483647 h 530"/>
              <a:gd name="T48" fmla="*/ 2147483647 w 520"/>
              <a:gd name="T49" fmla="*/ 2147483647 h 530"/>
              <a:gd name="T50" fmla="*/ 2147483647 w 520"/>
              <a:gd name="T51" fmla="*/ 2147483647 h 530"/>
              <a:gd name="T52" fmla="*/ 2147483647 w 520"/>
              <a:gd name="T53" fmla="*/ 2147483647 h 530"/>
              <a:gd name="T54" fmla="*/ 2147483647 w 520"/>
              <a:gd name="T55" fmla="*/ 2147483647 h 530"/>
              <a:gd name="T56" fmla="*/ 2147483647 w 520"/>
              <a:gd name="T57" fmla="*/ 2147483647 h 530"/>
              <a:gd name="T58" fmla="*/ 2147483647 w 520"/>
              <a:gd name="T59" fmla="*/ 2147483647 h 530"/>
              <a:gd name="T60" fmla="*/ 2147483647 w 520"/>
              <a:gd name="T61" fmla="*/ 2147483647 h 530"/>
              <a:gd name="T62" fmla="*/ 2147483647 w 520"/>
              <a:gd name="T63" fmla="*/ 2147483647 h 530"/>
              <a:gd name="T64" fmla="*/ 2147483647 w 520"/>
              <a:gd name="T65" fmla="*/ 2147483647 h 530"/>
              <a:gd name="T66" fmla="*/ 2147483647 w 520"/>
              <a:gd name="T67" fmla="*/ 2147483647 h 530"/>
              <a:gd name="T68" fmla="*/ 2147483647 w 520"/>
              <a:gd name="T69" fmla="*/ 2147483647 h 530"/>
              <a:gd name="T70" fmla="*/ 2147483647 w 520"/>
              <a:gd name="T71" fmla="*/ 2147483647 h 530"/>
              <a:gd name="T72" fmla="*/ 2147483647 w 520"/>
              <a:gd name="T73" fmla="*/ 2147483647 h 530"/>
              <a:gd name="T74" fmla="*/ 2147483647 w 520"/>
              <a:gd name="T75" fmla="*/ 2147483647 h 530"/>
              <a:gd name="T76" fmla="*/ 2147483647 w 520"/>
              <a:gd name="T77" fmla="*/ 2147483647 h 530"/>
              <a:gd name="T78" fmla="*/ 2147483647 w 520"/>
              <a:gd name="T79" fmla="*/ 2147483647 h 530"/>
              <a:gd name="T80" fmla="*/ 2147483647 w 520"/>
              <a:gd name="T81" fmla="*/ 2147483647 h 530"/>
              <a:gd name="T82" fmla="*/ 2147483647 w 520"/>
              <a:gd name="T83" fmla="*/ 2147483647 h 530"/>
              <a:gd name="T84" fmla="*/ 2147483647 w 520"/>
              <a:gd name="T85" fmla="*/ 2147483647 h 530"/>
              <a:gd name="T86" fmla="*/ 2147483647 w 520"/>
              <a:gd name="T87" fmla="*/ 2147483647 h 530"/>
              <a:gd name="T88" fmla="*/ 2147483647 w 520"/>
              <a:gd name="T89" fmla="*/ 2147483647 h 530"/>
              <a:gd name="T90" fmla="*/ 2147483647 w 520"/>
              <a:gd name="T91" fmla="*/ 2147483647 h 530"/>
              <a:gd name="T92" fmla="*/ 2147483647 w 520"/>
              <a:gd name="T93" fmla="*/ 2147483647 h 530"/>
              <a:gd name="T94" fmla="*/ 2147483647 w 520"/>
              <a:gd name="T95" fmla="*/ 2147483647 h 530"/>
              <a:gd name="T96" fmla="*/ 2147483647 w 520"/>
              <a:gd name="T97" fmla="*/ 2147483647 h 530"/>
              <a:gd name="T98" fmla="*/ 2147483647 w 520"/>
              <a:gd name="T99" fmla="*/ 2147483647 h 530"/>
              <a:gd name="T100" fmla="*/ 2147483647 w 520"/>
              <a:gd name="T101" fmla="*/ 2147483647 h 530"/>
              <a:gd name="T102" fmla="*/ 2147483647 w 520"/>
              <a:gd name="T103" fmla="*/ 2147483647 h 530"/>
              <a:gd name="T104" fmla="*/ 2147483647 w 520"/>
              <a:gd name="T105" fmla="*/ 2147483647 h 530"/>
              <a:gd name="T106" fmla="*/ 2147483647 w 520"/>
              <a:gd name="T107" fmla="*/ 2147483647 h 530"/>
              <a:gd name="T108" fmla="*/ 0 w 520"/>
              <a:gd name="T109" fmla="*/ 2147483647 h 530"/>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20"/>
              <a:gd name="T166" fmla="*/ 0 h 530"/>
              <a:gd name="T167" fmla="*/ 520 w 520"/>
              <a:gd name="T168" fmla="*/ 530 h 53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53 h 10000"/>
              <a:gd name="connsiteX29" fmla="*/ 9731 w 10000"/>
              <a:gd name="connsiteY29" fmla="*/ 656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53 h 10000"/>
              <a:gd name="connsiteX29" fmla="*/ 9711 w 10000"/>
              <a:gd name="connsiteY29" fmla="*/ 653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53 h 10000"/>
              <a:gd name="connsiteX29" fmla="*/ 9721 w 10000"/>
              <a:gd name="connsiteY29" fmla="*/ 654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13 h 10000"/>
              <a:gd name="connsiteX29" fmla="*/ 9721 w 10000"/>
              <a:gd name="connsiteY29" fmla="*/ 654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10000" h="10000">
                <a:moveTo>
                  <a:pt x="0" y="4585"/>
                </a:moveTo>
                <a:lnTo>
                  <a:pt x="981" y="4321"/>
                </a:lnTo>
                <a:lnTo>
                  <a:pt x="269" y="3981"/>
                </a:lnTo>
                <a:cubicBezTo>
                  <a:pt x="218" y="3874"/>
                  <a:pt x="166" y="3767"/>
                  <a:pt x="115" y="3660"/>
                </a:cubicBezTo>
                <a:lnTo>
                  <a:pt x="365" y="3415"/>
                </a:lnTo>
                <a:lnTo>
                  <a:pt x="538" y="3226"/>
                </a:lnTo>
                <a:lnTo>
                  <a:pt x="1154" y="2604"/>
                </a:lnTo>
                <a:lnTo>
                  <a:pt x="1731" y="2057"/>
                </a:lnTo>
                <a:lnTo>
                  <a:pt x="2135" y="1642"/>
                </a:lnTo>
                <a:lnTo>
                  <a:pt x="2462" y="1321"/>
                </a:lnTo>
                <a:lnTo>
                  <a:pt x="2923" y="849"/>
                </a:lnTo>
                <a:lnTo>
                  <a:pt x="3231" y="566"/>
                </a:lnTo>
                <a:lnTo>
                  <a:pt x="3423" y="358"/>
                </a:lnTo>
                <a:lnTo>
                  <a:pt x="3673" y="113"/>
                </a:lnTo>
                <a:lnTo>
                  <a:pt x="3885" y="0"/>
                </a:lnTo>
                <a:lnTo>
                  <a:pt x="4212" y="0"/>
                </a:lnTo>
                <a:lnTo>
                  <a:pt x="6481" y="0"/>
                </a:lnTo>
                <a:lnTo>
                  <a:pt x="8635" y="0"/>
                </a:lnTo>
                <a:lnTo>
                  <a:pt x="9500" y="0"/>
                </a:lnTo>
                <a:lnTo>
                  <a:pt x="9731" y="75"/>
                </a:lnTo>
                <a:cubicBezTo>
                  <a:pt x="9776" y="119"/>
                  <a:pt x="9820" y="164"/>
                  <a:pt x="9865" y="208"/>
                </a:cubicBezTo>
                <a:cubicBezTo>
                  <a:pt x="9897" y="246"/>
                  <a:pt x="9930" y="283"/>
                  <a:pt x="9962" y="321"/>
                </a:cubicBezTo>
                <a:cubicBezTo>
                  <a:pt x="9975" y="371"/>
                  <a:pt x="9987" y="422"/>
                  <a:pt x="10000" y="472"/>
                </a:cubicBezTo>
                <a:lnTo>
                  <a:pt x="10000" y="1434"/>
                </a:lnTo>
                <a:lnTo>
                  <a:pt x="10000" y="3868"/>
                </a:lnTo>
                <a:lnTo>
                  <a:pt x="10000" y="5604"/>
                </a:lnTo>
                <a:lnTo>
                  <a:pt x="10000" y="5943"/>
                </a:lnTo>
                <a:cubicBezTo>
                  <a:pt x="9994" y="6044"/>
                  <a:pt x="9987" y="6144"/>
                  <a:pt x="9981" y="6245"/>
                </a:cubicBezTo>
                <a:lnTo>
                  <a:pt x="9846" y="6413"/>
                </a:lnTo>
                <a:cubicBezTo>
                  <a:pt x="9808" y="6451"/>
                  <a:pt x="9759" y="6508"/>
                  <a:pt x="9721" y="6546"/>
                </a:cubicBezTo>
                <a:lnTo>
                  <a:pt x="8058" y="8205"/>
                </a:lnTo>
                <a:lnTo>
                  <a:pt x="7308" y="8925"/>
                </a:lnTo>
                <a:lnTo>
                  <a:pt x="7077" y="9170"/>
                </a:lnTo>
                <a:lnTo>
                  <a:pt x="6904" y="9340"/>
                </a:lnTo>
                <a:lnTo>
                  <a:pt x="6212" y="10000"/>
                </a:lnTo>
                <a:lnTo>
                  <a:pt x="4269" y="9849"/>
                </a:lnTo>
                <a:lnTo>
                  <a:pt x="3788" y="9491"/>
                </a:lnTo>
                <a:lnTo>
                  <a:pt x="3231" y="8264"/>
                </a:lnTo>
                <a:lnTo>
                  <a:pt x="3231" y="7623"/>
                </a:lnTo>
                <a:lnTo>
                  <a:pt x="3231" y="7170"/>
                </a:lnTo>
                <a:cubicBezTo>
                  <a:pt x="3212" y="7101"/>
                  <a:pt x="3192" y="7031"/>
                  <a:pt x="3173" y="6962"/>
                </a:cubicBezTo>
                <a:cubicBezTo>
                  <a:pt x="3019" y="6830"/>
                  <a:pt x="3058" y="6887"/>
                  <a:pt x="3000" y="6811"/>
                </a:cubicBezTo>
                <a:lnTo>
                  <a:pt x="2865" y="6717"/>
                </a:lnTo>
                <a:lnTo>
                  <a:pt x="2692" y="6755"/>
                </a:lnTo>
                <a:lnTo>
                  <a:pt x="2500" y="6698"/>
                </a:lnTo>
                <a:lnTo>
                  <a:pt x="2212" y="6717"/>
                </a:lnTo>
                <a:lnTo>
                  <a:pt x="1750" y="6717"/>
                </a:lnTo>
                <a:lnTo>
                  <a:pt x="558" y="6717"/>
                </a:lnTo>
                <a:lnTo>
                  <a:pt x="769" y="6925"/>
                </a:lnTo>
                <a:lnTo>
                  <a:pt x="558" y="6830"/>
                </a:lnTo>
                <a:lnTo>
                  <a:pt x="173" y="6528"/>
                </a:lnTo>
                <a:cubicBezTo>
                  <a:pt x="154" y="6402"/>
                  <a:pt x="134" y="6277"/>
                  <a:pt x="115" y="6151"/>
                </a:cubicBezTo>
                <a:cubicBezTo>
                  <a:pt x="83" y="6189"/>
                  <a:pt x="51" y="6226"/>
                  <a:pt x="19" y="6264"/>
                </a:cubicBezTo>
                <a:lnTo>
                  <a:pt x="154" y="6019"/>
                </a:lnTo>
                <a:cubicBezTo>
                  <a:pt x="103" y="5541"/>
                  <a:pt x="51" y="5063"/>
                  <a:pt x="0" y="4585"/>
                </a:cubicBezTo>
                <a:close/>
              </a:path>
            </a:pathLst>
          </a:custGeom>
          <a:gradFill rotWithShape="1">
            <a:gsLst>
              <a:gs pos="0">
                <a:srgbClr val="CCFFFF"/>
              </a:gs>
              <a:gs pos="100000">
                <a:srgbClr val="A6CAF0"/>
              </a:gs>
            </a:gsLst>
            <a:lin ang="5400000" scaled="1"/>
          </a:gradFill>
          <a:ln w="9525">
            <a:solidFill>
              <a:srgbClr val="000000"/>
            </a:solidFill>
            <a:round/>
            <a:headEnd/>
            <a:tailEnd/>
          </a:ln>
        </xdr:spPr>
      </xdr:sp>
      <xdr:sp macro="" textlink="">
        <xdr:nvSpPr>
          <xdr:cNvPr id="185" name="AutoShape 11">
            <a:extLst>
              <a:ext uri="{FF2B5EF4-FFF2-40B4-BE49-F238E27FC236}">
                <a16:creationId xmlns:a16="http://schemas.microsoft.com/office/drawing/2014/main" id="{00000000-0008-0000-1000-0000B9000000}"/>
              </a:ext>
            </a:extLst>
          </xdr:cNvPr>
          <xdr:cNvSpPr>
            <a:spLocks noChangeArrowheads="1"/>
          </xdr:cNvSpPr>
        </xdr:nvSpPr>
        <xdr:spPr bwMode="auto">
          <a:xfrm>
            <a:off x="2971800" y="2914650"/>
            <a:ext cx="352425" cy="3057525"/>
          </a:xfrm>
          <a:prstGeom prst="roundRect">
            <a:avLst>
              <a:gd name="adj" fmla="val 16667"/>
            </a:avLst>
          </a:prstGeom>
          <a:solidFill>
            <a:srgbClr val="FFFFFF"/>
          </a:solidFill>
          <a:ln w="9525">
            <a:solidFill>
              <a:srgbClr val="000000"/>
            </a:solidFill>
            <a:round/>
            <a:headEnd/>
            <a:tailEnd/>
          </a:ln>
        </xdr:spPr>
      </xdr:sp>
      <xdr:grpSp>
        <xdr:nvGrpSpPr>
          <xdr:cNvPr id="186" name="Group 12">
            <a:extLst>
              <a:ext uri="{FF2B5EF4-FFF2-40B4-BE49-F238E27FC236}">
                <a16:creationId xmlns:a16="http://schemas.microsoft.com/office/drawing/2014/main" id="{00000000-0008-0000-1000-0000BA000000}"/>
              </a:ext>
            </a:extLst>
          </xdr:cNvPr>
          <xdr:cNvGrpSpPr>
            <a:grpSpLocks/>
          </xdr:cNvGrpSpPr>
        </xdr:nvGrpSpPr>
        <xdr:grpSpPr bwMode="auto">
          <a:xfrm flipV="1">
            <a:off x="3009900" y="5972175"/>
            <a:ext cx="257175" cy="95250"/>
            <a:chOff x="146" y="875"/>
            <a:chExt cx="23" cy="9"/>
          </a:xfrm>
        </xdr:grpSpPr>
        <xdr:sp macro="" textlink="">
          <xdr:nvSpPr>
            <xdr:cNvPr id="466" name="Line 13">
              <a:extLst>
                <a:ext uri="{FF2B5EF4-FFF2-40B4-BE49-F238E27FC236}">
                  <a16:creationId xmlns:a16="http://schemas.microsoft.com/office/drawing/2014/main" id="{00000000-0008-0000-1000-0000D2010000}"/>
                </a:ext>
              </a:extLst>
            </xdr:cNvPr>
            <xdr:cNvSpPr>
              <a:spLocks noChangeShapeType="1"/>
            </xdr:cNvSpPr>
          </xdr:nvSpPr>
          <xdr:spPr bwMode="auto">
            <a:xfrm flipV="1">
              <a:off x="157" y="875"/>
              <a:ext cx="0" cy="9"/>
            </a:xfrm>
            <a:prstGeom prst="line">
              <a:avLst/>
            </a:prstGeom>
            <a:noFill/>
            <a:ln w="19050">
              <a:solidFill>
                <a:srgbClr val="000000"/>
              </a:solidFill>
              <a:round/>
              <a:headEnd/>
              <a:tailEnd/>
            </a:ln>
          </xdr:spPr>
        </xdr:sp>
        <xdr:sp macro="" textlink="">
          <xdr:nvSpPr>
            <xdr:cNvPr id="467" name="Line 14">
              <a:extLst>
                <a:ext uri="{FF2B5EF4-FFF2-40B4-BE49-F238E27FC236}">
                  <a16:creationId xmlns:a16="http://schemas.microsoft.com/office/drawing/2014/main" id="{00000000-0008-0000-1000-0000D3010000}"/>
                </a:ext>
              </a:extLst>
            </xdr:cNvPr>
            <xdr:cNvSpPr>
              <a:spLocks noChangeShapeType="1"/>
            </xdr:cNvSpPr>
          </xdr:nvSpPr>
          <xdr:spPr bwMode="auto">
            <a:xfrm>
              <a:off x="146" y="875"/>
              <a:ext cx="23" cy="0"/>
            </a:xfrm>
            <a:prstGeom prst="line">
              <a:avLst/>
            </a:prstGeom>
            <a:noFill/>
            <a:ln w="19050">
              <a:solidFill>
                <a:srgbClr val="000000"/>
              </a:solidFill>
              <a:round/>
              <a:headEnd/>
              <a:tailEnd/>
            </a:ln>
          </xdr:spPr>
        </xdr:sp>
      </xdr:grpSp>
      <xdr:grpSp>
        <xdr:nvGrpSpPr>
          <xdr:cNvPr id="187" name="Group 15">
            <a:extLst>
              <a:ext uri="{FF2B5EF4-FFF2-40B4-BE49-F238E27FC236}">
                <a16:creationId xmlns:a16="http://schemas.microsoft.com/office/drawing/2014/main" id="{00000000-0008-0000-1000-0000BB000000}"/>
              </a:ext>
            </a:extLst>
          </xdr:cNvPr>
          <xdr:cNvGrpSpPr>
            <a:grpSpLocks/>
          </xdr:cNvGrpSpPr>
        </xdr:nvGrpSpPr>
        <xdr:grpSpPr bwMode="auto">
          <a:xfrm>
            <a:off x="5095875" y="2819400"/>
            <a:ext cx="352425" cy="3248025"/>
            <a:chOff x="141" y="875"/>
            <a:chExt cx="32" cy="290"/>
          </a:xfrm>
        </xdr:grpSpPr>
        <xdr:sp macro="" textlink="">
          <xdr:nvSpPr>
            <xdr:cNvPr id="459" name="AutoShape 16">
              <a:extLst>
                <a:ext uri="{FF2B5EF4-FFF2-40B4-BE49-F238E27FC236}">
                  <a16:creationId xmlns:a16="http://schemas.microsoft.com/office/drawing/2014/main" id="{00000000-0008-0000-1000-0000CB010000}"/>
                </a:ext>
              </a:extLst>
            </xdr:cNvPr>
            <xdr:cNvSpPr>
              <a:spLocks noChangeArrowheads="1"/>
            </xdr:cNvSpPr>
          </xdr:nvSpPr>
          <xdr:spPr bwMode="auto">
            <a:xfrm>
              <a:off x="141" y="884"/>
              <a:ext cx="32" cy="272"/>
            </a:xfrm>
            <a:prstGeom prst="roundRect">
              <a:avLst>
                <a:gd name="adj" fmla="val 16667"/>
              </a:avLst>
            </a:prstGeom>
            <a:solidFill>
              <a:srgbClr val="FFFFFF"/>
            </a:solidFill>
            <a:ln w="9525">
              <a:solidFill>
                <a:srgbClr val="000000"/>
              </a:solidFill>
              <a:round/>
              <a:headEnd/>
              <a:tailEnd/>
            </a:ln>
          </xdr:spPr>
        </xdr:sp>
        <xdr:grpSp>
          <xdr:nvGrpSpPr>
            <xdr:cNvPr id="460" name="Group 17">
              <a:extLst>
                <a:ext uri="{FF2B5EF4-FFF2-40B4-BE49-F238E27FC236}">
                  <a16:creationId xmlns:a16="http://schemas.microsoft.com/office/drawing/2014/main" id="{00000000-0008-0000-1000-0000CC010000}"/>
                </a:ext>
              </a:extLst>
            </xdr:cNvPr>
            <xdr:cNvGrpSpPr>
              <a:grpSpLocks/>
            </xdr:cNvGrpSpPr>
          </xdr:nvGrpSpPr>
          <xdr:grpSpPr bwMode="auto">
            <a:xfrm>
              <a:off x="146" y="875"/>
              <a:ext cx="23" cy="9"/>
              <a:chOff x="146" y="875"/>
              <a:chExt cx="23" cy="9"/>
            </a:xfrm>
          </xdr:grpSpPr>
          <xdr:sp macro="" textlink="">
            <xdr:nvSpPr>
              <xdr:cNvPr id="464" name="Line 18">
                <a:extLst>
                  <a:ext uri="{FF2B5EF4-FFF2-40B4-BE49-F238E27FC236}">
                    <a16:creationId xmlns:a16="http://schemas.microsoft.com/office/drawing/2014/main" id="{00000000-0008-0000-1000-0000D0010000}"/>
                  </a:ext>
                </a:extLst>
              </xdr:cNvPr>
              <xdr:cNvSpPr>
                <a:spLocks noChangeShapeType="1"/>
              </xdr:cNvSpPr>
            </xdr:nvSpPr>
            <xdr:spPr bwMode="auto">
              <a:xfrm flipV="1">
                <a:off x="157" y="875"/>
                <a:ext cx="0" cy="9"/>
              </a:xfrm>
              <a:prstGeom prst="line">
                <a:avLst/>
              </a:prstGeom>
              <a:noFill/>
              <a:ln w="19050">
                <a:solidFill>
                  <a:srgbClr val="000000"/>
                </a:solidFill>
                <a:round/>
                <a:headEnd/>
                <a:tailEnd/>
              </a:ln>
            </xdr:spPr>
          </xdr:sp>
          <xdr:sp macro="" textlink="">
            <xdr:nvSpPr>
              <xdr:cNvPr id="465" name="Line 19">
                <a:extLst>
                  <a:ext uri="{FF2B5EF4-FFF2-40B4-BE49-F238E27FC236}">
                    <a16:creationId xmlns:a16="http://schemas.microsoft.com/office/drawing/2014/main" id="{00000000-0008-0000-1000-0000D1010000}"/>
                  </a:ext>
                </a:extLst>
              </xdr:cNvPr>
              <xdr:cNvSpPr>
                <a:spLocks noChangeShapeType="1"/>
              </xdr:cNvSpPr>
            </xdr:nvSpPr>
            <xdr:spPr bwMode="auto">
              <a:xfrm>
                <a:off x="146" y="875"/>
                <a:ext cx="23" cy="0"/>
              </a:xfrm>
              <a:prstGeom prst="line">
                <a:avLst/>
              </a:prstGeom>
              <a:noFill/>
              <a:ln w="19050">
                <a:solidFill>
                  <a:srgbClr val="000000"/>
                </a:solidFill>
                <a:round/>
                <a:headEnd/>
                <a:tailEnd/>
              </a:ln>
            </xdr:spPr>
          </xdr:sp>
        </xdr:grpSp>
        <xdr:grpSp>
          <xdr:nvGrpSpPr>
            <xdr:cNvPr id="461" name="Group 20">
              <a:extLst>
                <a:ext uri="{FF2B5EF4-FFF2-40B4-BE49-F238E27FC236}">
                  <a16:creationId xmlns:a16="http://schemas.microsoft.com/office/drawing/2014/main" id="{00000000-0008-0000-1000-0000CD010000}"/>
                </a:ext>
              </a:extLst>
            </xdr:cNvPr>
            <xdr:cNvGrpSpPr>
              <a:grpSpLocks/>
            </xdr:cNvGrpSpPr>
          </xdr:nvGrpSpPr>
          <xdr:grpSpPr bwMode="auto">
            <a:xfrm flipV="1">
              <a:off x="145" y="1156"/>
              <a:ext cx="23" cy="9"/>
              <a:chOff x="146" y="875"/>
              <a:chExt cx="23" cy="9"/>
            </a:xfrm>
          </xdr:grpSpPr>
          <xdr:sp macro="" textlink="">
            <xdr:nvSpPr>
              <xdr:cNvPr id="462" name="Line 21">
                <a:extLst>
                  <a:ext uri="{FF2B5EF4-FFF2-40B4-BE49-F238E27FC236}">
                    <a16:creationId xmlns:a16="http://schemas.microsoft.com/office/drawing/2014/main" id="{00000000-0008-0000-1000-0000CE010000}"/>
                  </a:ext>
                </a:extLst>
              </xdr:cNvPr>
              <xdr:cNvSpPr>
                <a:spLocks noChangeShapeType="1"/>
              </xdr:cNvSpPr>
            </xdr:nvSpPr>
            <xdr:spPr bwMode="auto">
              <a:xfrm flipV="1">
                <a:off x="157" y="875"/>
                <a:ext cx="0" cy="9"/>
              </a:xfrm>
              <a:prstGeom prst="line">
                <a:avLst/>
              </a:prstGeom>
              <a:noFill/>
              <a:ln w="19050">
                <a:solidFill>
                  <a:srgbClr val="000000"/>
                </a:solidFill>
                <a:round/>
                <a:headEnd/>
                <a:tailEnd/>
              </a:ln>
            </xdr:spPr>
          </xdr:sp>
          <xdr:sp macro="" textlink="">
            <xdr:nvSpPr>
              <xdr:cNvPr id="463" name="Line 22">
                <a:extLst>
                  <a:ext uri="{FF2B5EF4-FFF2-40B4-BE49-F238E27FC236}">
                    <a16:creationId xmlns:a16="http://schemas.microsoft.com/office/drawing/2014/main" id="{00000000-0008-0000-1000-0000CF010000}"/>
                  </a:ext>
                </a:extLst>
              </xdr:cNvPr>
              <xdr:cNvSpPr>
                <a:spLocks noChangeShapeType="1"/>
              </xdr:cNvSpPr>
            </xdr:nvSpPr>
            <xdr:spPr bwMode="auto">
              <a:xfrm>
                <a:off x="146" y="875"/>
                <a:ext cx="23" cy="0"/>
              </a:xfrm>
              <a:prstGeom prst="line">
                <a:avLst/>
              </a:prstGeom>
              <a:noFill/>
              <a:ln w="19050">
                <a:solidFill>
                  <a:srgbClr val="000000"/>
                </a:solidFill>
                <a:round/>
                <a:headEnd/>
                <a:tailEnd/>
              </a:ln>
            </xdr:spPr>
          </xdr:sp>
        </xdr:grpSp>
      </xdr:grpSp>
      <xdr:sp macro="" textlink="">
        <xdr:nvSpPr>
          <xdr:cNvPr id="188" name="AutoShape 23">
            <a:extLst>
              <a:ext uri="{FF2B5EF4-FFF2-40B4-BE49-F238E27FC236}">
                <a16:creationId xmlns:a16="http://schemas.microsoft.com/office/drawing/2014/main" id="{00000000-0008-0000-1000-0000BC000000}"/>
              </a:ext>
            </a:extLst>
          </xdr:cNvPr>
          <xdr:cNvSpPr>
            <a:spLocks noChangeArrowheads="1"/>
          </xdr:cNvSpPr>
        </xdr:nvSpPr>
        <xdr:spPr bwMode="auto">
          <a:xfrm>
            <a:off x="5448300" y="2914650"/>
            <a:ext cx="352425" cy="3057525"/>
          </a:xfrm>
          <a:prstGeom prst="roundRect">
            <a:avLst>
              <a:gd name="adj" fmla="val 16667"/>
            </a:avLst>
          </a:prstGeom>
          <a:solidFill>
            <a:srgbClr val="FFFFFF"/>
          </a:solidFill>
          <a:ln w="9525">
            <a:solidFill>
              <a:srgbClr val="000000"/>
            </a:solidFill>
            <a:round/>
            <a:headEnd/>
            <a:tailEnd/>
          </a:ln>
        </xdr:spPr>
      </xdr:sp>
      <xdr:sp macro="" textlink="">
        <xdr:nvSpPr>
          <xdr:cNvPr id="189" name="Line 24">
            <a:extLst>
              <a:ext uri="{FF2B5EF4-FFF2-40B4-BE49-F238E27FC236}">
                <a16:creationId xmlns:a16="http://schemas.microsoft.com/office/drawing/2014/main" id="{00000000-0008-0000-1000-0000BD000000}"/>
              </a:ext>
            </a:extLst>
          </xdr:cNvPr>
          <xdr:cNvSpPr>
            <a:spLocks noChangeShapeType="1"/>
          </xdr:cNvSpPr>
        </xdr:nvSpPr>
        <xdr:spPr bwMode="auto">
          <a:xfrm flipV="1">
            <a:off x="5629275" y="2847975"/>
            <a:ext cx="0" cy="66675"/>
          </a:xfrm>
          <a:prstGeom prst="line">
            <a:avLst/>
          </a:prstGeom>
          <a:noFill/>
          <a:ln w="19050">
            <a:solidFill>
              <a:srgbClr val="000000"/>
            </a:solidFill>
            <a:round/>
            <a:headEnd/>
            <a:tailEnd/>
          </a:ln>
        </xdr:spPr>
      </xdr:sp>
      <xdr:sp macro="" textlink="">
        <xdr:nvSpPr>
          <xdr:cNvPr id="190" name="Line 25">
            <a:extLst>
              <a:ext uri="{FF2B5EF4-FFF2-40B4-BE49-F238E27FC236}">
                <a16:creationId xmlns:a16="http://schemas.microsoft.com/office/drawing/2014/main" id="{00000000-0008-0000-1000-0000BE000000}"/>
              </a:ext>
            </a:extLst>
          </xdr:cNvPr>
          <xdr:cNvSpPr>
            <a:spLocks noChangeShapeType="1"/>
          </xdr:cNvSpPr>
        </xdr:nvSpPr>
        <xdr:spPr bwMode="auto">
          <a:xfrm>
            <a:off x="5505450" y="2819400"/>
            <a:ext cx="257175" cy="66675"/>
          </a:xfrm>
          <a:prstGeom prst="line">
            <a:avLst/>
          </a:prstGeom>
          <a:noFill/>
          <a:ln w="19050">
            <a:solidFill>
              <a:srgbClr val="000000"/>
            </a:solidFill>
            <a:round/>
            <a:headEnd/>
            <a:tailEnd/>
          </a:ln>
        </xdr:spPr>
      </xdr:sp>
      <xdr:sp macro="" textlink="">
        <xdr:nvSpPr>
          <xdr:cNvPr id="191" name="Line 26">
            <a:extLst>
              <a:ext uri="{FF2B5EF4-FFF2-40B4-BE49-F238E27FC236}">
                <a16:creationId xmlns:a16="http://schemas.microsoft.com/office/drawing/2014/main" id="{00000000-0008-0000-1000-0000BF000000}"/>
              </a:ext>
            </a:extLst>
          </xdr:cNvPr>
          <xdr:cNvSpPr>
            <a:spLocks noChangeShapeType="1"/>
          </xdr:cNvSpPr>
        </xdr:nvSpPr>
        <xdr:spPr bwMode="auto">
          <a:xfrm>
            <a:off x="5610225" y="5972175"/>
            <a:ext cx="19050" cy="57150"/>
          </a:xfrm>
          <a:prstGeom prst="line">
            <a:avLst/>
          </a:prstGeom>
          <a:noFill/>
          <a:ln w="19050">
            <a:solidFill>
              <a:srgbClr val="000000"/>
            </a:solidFill>
            <a:round/>
            <a:headEnd/>
            <a:tailEnd/>
          </a:ln>
        </xdr:spPr>
      </xdr:sp>
      <xdr:sp macro="" textlink="">
        <xdr:nvSpPr>
          <xdr:cNvPr id="192" name="Line 27">
            <a:extLst>
              <a:ext uri="{FF2B5EF4-FFF2-40B4-BE49-F238E27FC236}">
                <a16:creationId xmlns:a16="http://schemas.microsoft.com/office/drawing/2014/main" id="{00000000-0008-0000-1000-0000C0000000}"/>
              </a:ext>
            </a:extLst>
          </xdr:cNvPr>
          <xdr:cNvSpPr>
            <a:spLocks noChangeShapeType="1"/>
          </xdr:cNvSpPr>
        </xdr:nvSpPr>
        <xdr:spPr bwMode="auto">
          <a:xfrm flipV="1">
            <a:off x="5495925" y="6010275"/>
            <a:ext cx="247650" cy="57150"/>
          </a:xfrm>
          <a:prstGeom prst="line">
            <a:avLst/>
          </a:prstGeom>
          <a:noFill/>
          <a:ln w="19050">
            <a:solidFill>
              <a:srgbClr val="000000"/>
            </a:solidFill>
            <a:round/>
            <a:headEnd/>
            <a:tailEnd/>
          </a:ln>
        </xdr:spPr>
      </xdr:sp>
      <xdr:sp macro="" textlink="">
        <xdr:nvSpPr>
          <xdr:cNvPr id="193" name="AutoShape 28">
            <a:extLst>
              <a:ext uri="{FF2B5EF4-FFF2-40B4-BE49-F238E27FC236}">
                <a16:creationId xmlns:a16="http://schemas.microsoft.com/office/drawing/2014/main" id="{00000000-0008-0000-1000-0000C1000000}"/>
              </a:ext>
            </a:extLst>
          </xdr:cNvPr>
          <xdr:cNvSpPr>
            <a:spLocks noChangeArrowheads="1"/>
          </xdr:cNvSpPr>
        </xdr:nvSpPr>
        <xdr:spPr bwMode="auto">
          <a:xfrm>
            <a:off x="2628900" y="3019425"/>
            <a:ext cx="342900" cy="2838450"/>
          </a:xfrm>
          <a:prstGeom prst="roundRect">
            <a:avLst>
              <a:gd name="adj" fmla="val 16667"/>
            </a:avLst>
          </a:prstGeom>
          <a:solidFill>
            <a:srgbClr val="FFFFFF"/>
          </a:solidFill>
          <a:ln w="9525">
            <a:solidFill>
              <a:srgbClr val="000000"/>
            </a:solidFill>
            <a:round/>
            <a:headEnd/>
            <a:tailEnd/>
          </a:ln>
        </xdr:spPr>
      </xdr:sp>
      <xdr:sp macro="" textlink="">
        <xdr:nvSpPr>
          <xdr:cNvPr id="194" name="AutoShape 29">
            <a:extLst>
              <a:ext uri="{FF2B5EF4-FFF2-40B4-BE49-F238E27FC236}">
                <a16:creationId xmlns:a16="http://schemas.microsoft.com/office/drawing/2014/main" id="{00000000-0008-0000-1000-0000C2000000}"/>
              </a:ext>
            </a:extLst>
          </xdr:cNvPr>
          <xdr:cNvSpPr>
            <a:spLocks noChangeArrowheads="1"/>
          </xdr:cNvSpPr>
        </xdr:nvSpPr>
        <xdr:spPr bwMode="auto">
          <a:xfrm>
            <a:off x="2619375" y="2752725"/>
            <a:ext cx="3248025" cy="3295650"/>
          </a:xfrm>
          <a:prstGeom prst="roundRect">
            <a:avLst>
              <a:gd name="adj" fmla="val 7333"/>
            </a:avLst>
          </a:prstGeom>
          <a:solidFill>
            <a:srgbClr val="66FFCC"/>
          </a:solidFill>
          <a:ln w="12700">
            <a:solidFill>
              <a:srgbClr val="000000"/>
            </a:solidFill>
            <a:round/>
            <a:headEnd/>
            <a:tailEnd/>
          </a:ln>
        </xdr:spPr>
      </xdr:sp>
      <xdr:sp macro="" textlink="">
        <xdr:nvSpPr>
          <xdr:cNvPr id="195" name="Line 30">
            <a:extLst>
              <a:ext uri="{FF2B5EF4-FFF2-40B4-BE49-F238E27FC236}">
                <a16:creationId xmlns:a16="http://schemas.microsoft.com/office/drawing/2014/main" id="{00000000-0008-0000-1000-0000C3000000}"/>
              </a:ext>
            </a:extLst>
          </xdr:cNvPr>
          <xdr:cNvSpPr>
            <a:spLocks noChangeShapeType="1"/>
          </xdr:cNvSpPr>
        </xdr:nvSpPr>
        <xdr:spPr bwMode="auto">
          <a:xfrm flipH="1">
            <a:off x="5724525" y="5838825"/>
            <a:ext cx="209550" cy="219075"/>
          </a:xfrm>
          <a:prstGeom prst="line">
            <a:avLst/>
          </a:prstGeom>
          <a:noFill/>
          <a:ln w="9525">
            <a:solidFill>
              <a:srgbClr val="000000"/>
            </a:solidFill>
            <a:round/>
            <a:headEnd/>
            <a:tailEnd/>
          </a:ln>
        </xdr:spPr>
      </xdr:sp>
      <xdr:sp macro="" textlink="">
        <xdr:nvSpPr>
          <xdr:cNvPr id="196" name="Line 31">
            <a:extLst>
              <a:ext uri="{FF2B5EF4-FFF2-40B4-BE49-F238E27FC236}">
                <a16:creationId xmlns:a16="http://schemas.microsoft.com/office/drawing/2014/main" id="{00000000-0008-0000-1000-0000C4000000}"/>
              </a:ext>
            </a:extLst>
          </xdr:cNvPr>
          <xdr:cNvSpPr>
            <a:spLocks noChangeShapeType="1"/>
          </xdr:cNvSpPr>
        </xdr:nvSpPr>
        <xdr:spPr bwMode="auto">
          <a:xfrm flipV="1">
            <a:off x="5829300" y="1066800"/>
            <a:ext cx="1771650" cy="1790700"/>
          </a:xfrm>
          <a:prstGeom prst="line">
            <a:avLst/>
          </a:prstGeom>
          <a:noFill/>
          <a:ln w="28575">
            <a:solidFill>
              <a:srgbClr val="66FFFF"/>
            </a:solidFill>
            <a:round/>
            <a:headEnd/>
            <a:tailEnd/>
          </a:ln>
        </xdr:spPr>
      </xdr:sp>
      <xdr:sp macro="" textlink="">
        <xdr:nvSpPr>
          <xdr:cNvPr id="197" name="Line 32">
            <a:extLst>
              <a:ext uri="{FF2B5EF4-FFF2-40B4-BE49-F238E27FC236}">
                <a16:creationId xmlns:a16="http://schemas.microsoft.com/office/drawing/2014/main" id="{00000000-0008-0000-1000-0000C5000000}"/>
              </a:ext>
            </a:extLst>
          </xdr:cNvPr>
          <xdr:cNvSpPr>
            <a:spLocks noChangeShapeType="1"/>
          </xdr:cNvSpPr>
        </xdr:nvSpPr>
        <xdr:spPr bwMode="auto">
          <a:xfrm flipV="1">
            <a:off x="5743575" y="1000125"/>
            <a:ext cx="1771650" cy="1790700"/>
          </a:xfrm>
          <a:prstGeom prst="line">
            <a:avLst/>
          </a:prstGeom>
          <a:noFill/>
          <a:ln w="28575">
            <a:solidFill>
              <a:srgbClr val="66FFFF"/>
            </a:solidFill>
            <a:round/>
            <a:headEnd/>
            <a:tailEnd/>
          </a:ln>
        </xdr:spPr>
      </xdr:sp>
      <xdr:sp macro="" textlink="">
        <xdr:nvSpPr>
          <xdr:cNvPr id="198" name="Line 33">
            <a:extLst>
              <a:ext uri="{FF2B5EF4-FFF2-40B4-BE49-F238E27FC236}">
                <a16:creationId xmlns:a16="http://schemas.microsoft.com/office/drawing/2014/main" id="{00000000-0008-0000-1000-0000C6000000}"/>
              </a:ext>
            </a:extLst>
          </xdr:cNvPr>
          <xdr:cNvSpPr>
            <a:spLocks noChangeShapeType="1"/>
          </xdr:cNvSpPr>
        </xdr:nvSpPr>
        <xdr:spPr bwMode="auto">
          <a:xfrm flipV="1">
            <a:off x="5857875" y="1162050"/>
            <a:ext cx="1771650" cy="1800225"/>
          </a:xfrm>
          <a:prstGeom prst="line">
            <a:avLst/>
          </a:prstGeom>
          <a:noFill/>
          <a:ln w="28575">
            <a:solidFill>
              <a:srgbClr val="66FFFF"/>
            </a:solidFill>
            <a:round/>
            <a:headEnd/>
            <a:tailEnd/>
          </a:ln>
        </xdr:spPr>
      </xdr:sp>
      <xdr:sp macro="" textlink="">
        <xdr:nvSpPr>
          <xdr:cNvPr id="199" name="Arc 34">
            <a:extLst>
              <a:ext uri="{FF2B5EF4-FFF2-40B4-BE49-F238E27FC236}">
                <a16:creationId xmlns:a16="http://schemas.microsoft.com/office/drawing/2014/main" id="{00000000-0008-0000-1000-0000C7000000}"/>
              </a:ext>
            </a:extLst>
          </xdr:cNvPr>
          <xdr:cNvSpPr>
            <a:spLocks/>
          </xdr:cNvSpPr>
        </xdr:nvSpPr>
        <xdr:spPr bwMode="auto">
          <a:xfrm>
            <a:off x="7353300" y="952500"/>
            <a:ext cx="276225" cy="228600"/>
          </a:xfrm>
          <a:custGeom>
            <a:avLst/>
            <a:gdLst>
              <a:gd name="T0" fmla="*/ 0 w 21600"/>
              <a:gd name="T1" fmla="*/ 0 h 21600"/>
              <a:gd name="T2" fmla="*/ 2147483647 w 21600"/>
              <a:gd name="T3" fmla="*/ 2147483647 h 21600"/>
              <a:gd name="T4" fmla="*/ 0 w 21600"/>
              <a:gd name="T5" fmla="*/ 214748364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200" name="Arc 35">
            <a:extLst>
              <a:ext uri="{FF2B5EF4-FFF2-40B4-BE49-F238E27FC236}">
                <a16:creationId xmlns:a16="http://schemas.microsoft.com/office/drawing/2014/main" id="{00000000-0008-0000-1000-0000C8000000}"/>
              </a:ext>
            </a:extLst>
          </xdr:cNvPr>
          <xdr:cNvSpPr>
            <a:spLocks/>
          </xdr:cNvSpPr>
        </xdr:nvSpPr>
        <xdr:spPr bwMode="auto">
          <a:xfrm>
            <a:off x="5610225" y="2752725"/>
            <a:ext cx="257175" cy="228600"/>
          </a:xfrm>
          <a:custGeom>
            <a:avLst/>
            <a:gdLst>
              <a:gd name="T0" fmla="*/ 0 w 21600"/>
              <a:gd name="T1" fmla="*/ 0 h 21600"/>
              <a:gd name="T2" fmla="*/ 2147483647 w 21600"/>
              <a:gd name="T3" fmla="*/ 2147483647 h 21600"/>
              <a:gd name="T4" fmla="*/ 0 w 21600"/>
              <a:gd name="T5" fmla="*/ 214748364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201" name="Freeform 36">
            <a:extLst>
              <a:ext uri="{FF2B5EF4-FFF2-40B4-BE49-F238E27FC236}">
                <a16:creationId xmlns:a16="http://schemas.microsoft.com/office/drawing/2014/main" id="{00000000-0008-0000-1000-0000C9000000}"/>
              </a:ext>
            </a:extLst>
          </xdr:cNvPr>
          <xdr:cNvSpPr>
            <a:spLocks/>
          </xdr:cNvSpPr>
        </xdr:nvSpPr>
        <xdr:spPr bwMode="auto">
          <a:xfrm>
            <a:off x="2590800" y="2933700"/>
            <a:ext cx="3143250" cy="3181350"/>
          </a:xfrm>
          <a:custGeom>
            <a:avLst/>
            <a:gdLst>
              <a:gd name="T0" fmla="*/ 2147483647 w 330"/>
              <a:gd name="T1" fmla="*/ 0 h 334"/>
              <a:gd name="T2" fmla="*/ 2147483647 w 330"/>
              <a:gd name="T3" fmla="*/ 2147483647 h 334"/>
              <a:gd name="T4" fmla="*/ 0 w 330"/>
              <a:gd name="T5" fmla="*/ 2147483647 h 334"/>
              <a:gd name="T6" fmla="*/ 0 w 330"/>
              <a:gd name="T7" fmla="*/ 2147483647 h 334"/>
              <a:gd name="T8" fmla="*/ 0 w 330"/>
              <a:gd name="T9" fmla="*/ 2147483647 h 334"/>
              <a:gd name="T10" fmla="*/ 2147483647 w 330"/>
              <a:gd name="T11" fmla="*/ 2147483647 h 334"/>
              <a:gd name="T12" fmla="*/ 2147483647 w 330"/>
              <a:gd name="T13" fmla="*/ 2147483647 h 334"/>
              <a:gd name="T14" fmla="*/ 2147483647 w 330"/>
              <a:gd name="T15" fmla="*/ 2147483647 h 334"/>
              <a:gd name="T16" fmla="*/ 2147483647 w 330"/>
              <a:gd name="T17" fmla="*/ 2147483647 h 334"/>
              <a:gd name="T18" fmla="*/ 2147483647 w 330"/>
              <a:gd name="T19" fmla="*/ 2147483647 h 334"/>
              <a:gd name="T20" fmla="*/ 2147483647 w 330"/>
              <a:gd name="T21" fmla="*/ 2147483647 h 334"/>
              <a:gd name="T22" fmla="*/ 2147483647 w 330"/>
              <a:gd name="T23" fmla="*/ 2147483647 h 334"/>
              <a:gd name="T24" fmla="*/ 2147483647 w 330"/>
              <a:gd name="T25" fmla="*/ 2147483647 h 334"/>
              <a:gd name="T26" fmla="*/ 2147483647 w 330"/>
              <a:gd name="T27" fmla="*/ 2147483647 h 334"/>
              <a:gd name="T28" fmla="*/ 2147483647 w 330"/>
              <a:gd name="T29" fmla="*/ 2147483647 h 334"/>
              <a:gd name="T30" fmla="*/ 2147483647 w 330"/>
              <a:gd name="T31" fmla="*/ 2147483647 h 334"/>
              <a:gd name="T32" fmla="*/ 2147483647 w 330"/>
              <a:gd name="T33" fmla="*/ 2147483647 h 334"/>
              <a:gd name="T34" fmla="*/ 2147483647 w 330"/>
              <a:gd name="T35" fmla="*/ 2147483647 h 334"/>
              <a:gd name="T36" fmla="*/ 2147483647 w 330"/>
              <a:gd name="T37" fmla="*/ 2147483647 h 334"/>
              <a:gd name="T38" fmla="*/ 2147483647 w 330"/>
              <a:gd name="T39" fmla="*/ 2147483647 h 334"/>
              <a:gd name="T40" fmla="*/ 2147483647 w 330"/>
              <a:gd name="T41" fmla="*/ 2147483647 h 334"/>
              <a:gd name="T42" fmla="*/ 2147483647 w 330"/>
              <a:gd name="T43" fmla="*/ 2147483647 h 334"/>
              <a:gd name="T44" fmla="*/ 2147483647 w 330"/>
              <a:gd name="T45" fmla="*/ 0 h 33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330"/>
              <a:gd name="T70" fmla="*/ 0 h 334"/>
              <a:gd name="T71" fmla="*/ 330 w 330"/>
              <a:gd name="T72" fmla="*/ 334 h 334"/>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330" h="334">
                <a:moveTo>
                  <a:pt x="3" y="0"/>
                </a:moveTo>
                <a:lnTo>
                  <a:pt x="1" y="5"/>
                </a:lnTo>
                <a:lnTo>
                  <a:pt x="0" y="11"/>
                </a:lnTo>
                <a:lnTo>
                  <a:pt x="0" y="58"/>
                </a:lnTo>
                <a:lnTo>
                  <a:pt x="0" y="303"/>
                </a:lnTo>
                <a:lnTo>
                  <a:pt x="1" y="315"/>
                </a:lnTo>
                <a:lnTo>
                  <a:pt x="5" y="324"/>
                </a:lnTo>
                <a:lnTo>
                  <a:pt x="14" y="331"/>
                </a:lnTo>
                <a:lnTo>
                  <a:pt x="20" y="333"/>
                </a:lnTo>
                <a:lnTo>
                  <a:pt x="27" y="334"/>
                </a:lnTo>
                <a:lnTo>
                  <a:pt x="317" y="334"/>
                </a:lnTo>
                <a:lnTo>
                  <a:pt x="324" y="331"/>
                </a:lnTo>
                <a:lnTo>
                  <a:pt x="330" y="326"/>
                </a:lnTo>
                <a:lnTo>
                  <a:pt x="323" y="328"/>
                </a:lnTo>
                <a:lnTo>
                  <a:pt x="305" y="328"/>
                </a:lnTo>
                <a:lnTo>
                  <a:pt x="24" y="328"/>
                </a:lnTo>
                <a:lnTo>
                  <a:pt x="15" y="326"/>
                </a:lnTo>
                <a:lnTo>
                  <a:pt x="10" y="322"/>
                </a:lnTo>
                <a:lnTo>
                  <a:pt x="5" y="316"/>
                </a:lnTo>
                <a:lnTo>
                  <a:pt x="3" y="309"/>
                </a:lnTo>
                <a:lnTo>
                  <a:pt x="2" y="299"/>
                </a:lnTo>
                <a:lnTo>
                  <a:pt x="2" y="5"/>
                </a:lnTo>
                <a:lnTo>
                  <a:pt x="3" y="0"/>
                </a:lnTo>
                <a:close/>
              </a:path>
            </a:pathLst>
          </a:custGeom>
          <a:solidFill>
            <a:srgbClr val="B3FFFF"/>
          </a:solidFill>
          <a:ln w="9525">
            <a:noFill/>
            <a:round/>
            <a:headEnd/>
            <a:tailEnd/>
          </a:ln>
        </xdr:spPr>
      </xdr:sp>
      <xdr:sp macro="" textlink="">
        <xdr:nvSpPr>
          <xdr:cNvPr id="202" name="AutoShape 37">
            <a:extLst>
              <a:ext uri="{FF2B5EF4-FFF2-40B4-BE49-F238E27FC236}">
                <a16:creationId xmlns:a16="http://schemas.microsoft.com/office/drawing/2014/main" id="{00000000-0008-0000-1000-0000CA000000}"/>
              </a:ext>
            </a:extLst>
          </xdr:cNvPr>
          <xdr:cNvSpPr>
            <a:spLocks noChangeArrowheads="1"/>
          </xdr:cNvSpPr>
        </xdr:nvSpPr>
        <xdr:spPr bwMode="auto">
          <a:xfrm>
            <a:off x="2590800" y="2800350"/>
            <a:ext cx="3219450" cy="3314700"/>
          </a:xfrm>
          <a:prstGeom prst="roundRect">
            <a:avLst>
              <a:gd name="adj" fmla="val 7745"/>
            </a:avLst>
          </a:prstGeom>
          <a:noFill/>
          <a:ln w="19050">
            <a:solidFill>
              <a:srgbClr val="000000"/>
            </a:solidFill>
            <a:round/>
            <a:headEnd/>
            <a:tailEnd/>
          </a:ln>
        </xdr:spPr>
      </xdr:sp>
      <xdr:grpSp>
        <xdr:nvGrpSpPr>
          <xdr:cNvPr id="203" name="Group 39">
            <a:extLst>
              <a:ext uri="{FF2B5EF4-FFF2-40B4-BE49-F238E27FC236}">
                <a16:creationId xmlns:a16="http://schemas.microsoft.com/office/drawing/2014/main" id="{00000000-0008-0000-1000-0000CB000000}"/>
              </a:ext>
            </a:extLst>
          </xdr:cNvPr>
          <xdr:cNvGrpSpPr>
            <a:grpSpLocks/>
          </xdr:cNvGrpSpPr>
        </xdr:nvGrpSpPr>
        <xdr:grpSpPr bwMode="auto">
          <a:xfrm>
            <a:off x="3048000" y="2095500"/>
            <a:ext cx="1333500" cy="2352675"/>
            <a:chOff x="837" y="652"/>
            <a:chExt cx="140" cy="247"/>
          </a:xfrm>
        </xdr:grpSpPr>
        <xdr:sp macro="" textlink="">
          <xdr:nvSpPr>
            <xdr:cNvPr id="418" name="Freeform 40">
              <a:extLst>
                <a:ext uri="{FF2B5EF4-FFF2-40B4-BE49-F238E27FC236}">
                  <a16:creationId xmlns:a16="http://schemas.microsoft.com/office/drawing/2014/main" id="{00000000-0008-0000-1000-0000A2010000}"/>
                </a:ext>
              </a:extLst>
            </xdr:cNvPr>
            <xdr:cNvSpPr>
              <a:spLocks/>
            </xdr:cNvSpPr>
          </xdr:nvSpPr>
          <xdr:spPr bwMode="auto">
            <a:xfrm>
              <a:off x="880"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419" name="Rectangle 41">
              <a:extLst>
                <a:ext uri="{FF2B5EF4-FFF2-40B4-BE49-F238E27FC236}">
                  <a16:creationId xmlns:a16="http://schemas.microsoft.com/office/drawing/2014/main" id="{00000000-0008-0000-1000-0000A3010000}"/>
                </a:ext>
              </a:extLst>
            </xdr:cNvPr>
            <xdr:cNvSpPr>
              <a:spLocks noChangeArrowheads="1"/>
            </xdr:cNvSpPr>
          </xdr:nvSpPr>
          <xdr:spPr bwMode="auto">
            <a:xfrm>
              <a:off x="837" y="741"/>
              <a:ext cx="27" cy="151"/>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420" name="Freeform 42">
              <a:extLst>
                <a:ext uri="{FF2B5EF4-FFF2-40B4-BE49-F238E27FC236}">
                  <a16:creationId xmlns:a16="http://schemas.microsoft.com/office/drawing/2014/main" id="{00000000-0008-0000-1000-0000A4010000}"/>
                </a:ext>
              </a:extLst>
            </xdr:cNvPr>
            <xdr:cNvSpPr>
              <a:spLocks/>
            </xdr:cNvSpPr>
          </xdr:nvSpPr>
          <xdr:spPr bwMode="auto">
            <a:xfrm>
              <a:off x="864" y="720"/>
              <a:ext cx="21" cy="177"/>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421" name="Line 43">
              <a:extLst>
                <a:ext uri="{FF2B5EF4-FFF2-40B4-BE49-F238E27FC236}">
                  <a16:creationId xmlns:a16="http://schemas.microsoft.com/office/drawing/2014/main" id="{00000000-0008-0000-1000-0000A5010000}"/>
                </a:ext>
              </a:extLst>
            </xdr:cNvPr>
            <xdr:cNvSpPr>
              <a:spLocks noChangeShapeType="1"/>
            </xdr:cNvSpPr>
          </xdr:nvSpPr>
          <xdr:spPr bwMode="auto">
            <a:xfrm flipV="1">
              <a:off x="885" y="707"/>
              <a:ext cx="13" cy="13"/>
            </a:xfrm>
            <a:prstGeom prst="line">
              <a:avLst/>
            </a:prstGeom>
            <a:noFill/>
            <a:ln w="28575">
              <a:solidFill>
                <a:srgbClr val="A6CAF0"/>
              </a:solidFill>
              <a:round/>
              <a:headEnd/>
              <a:tailEnd/>
            </a:ln>
          </xdr:spPr>
        </xdr:sp>
        <xdr:sp macro="" textlink="">
          <xdr:nvSpPr>
            <xdr:cNvPr id="422" name="Freeform 44">
              <a:extLst>
                <a:ext uri="{FF2B5EF4-FFF2-40B4-BE49-F238E27FC236}">
                  <a16:creationId xmlns:a16="http://schemas.microsoft.com/office/drawing/2014/main" id="{00000000-0008-0000-1000-0000A6010000}"/>
                </a:ext>
              </a:extLst>
            </xdr:cNvPr>
            <xdr:cNvSpPr>
              <a:spLocks/>
            </xdr:cNvSpPr>
          </xdr:nvSpPr>
          <xdr:spPr bwMode="auto">
            <a:xfrm>
              <a:off x="896"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423" name="Freeform 45">
              <a:extLst>
                <a:ext uri="{FF2B5EF4-FFF2-40B4-BE49-F238E27FC236}">
                  <a16:creationId xmlns:a16="http://schemas.microsoft.com/office/drawing/2014/main" id="{00000000-0008-0000-1000-0000A7010000}"/>
                </a:ext>
              </a:extLst>
            </xdr:cNvPr>
            <xdr:cNvSpPr>
              <a:spLocks/>
            </xdr:cNvSpPr>
          </xdr:nvSpPr>
          <xdr:spPr bwMode="auto">
            <a:xfrm>
              <a:off x="884"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424" name="Line 46">
              <a:extLst>
                <a:ext uri="{FF2B5EF4-FFF2-40B4-BE49-F238E27FC236}">
                  <a16:creationId xmlns:a16="http://schemas.microsoft.com/office/drawing/2014/main" id="{00000000-0008-0000-1000-0000A8010000}"/>
                </a:ext>
              </a:extLst>
            </xdr:cNvPr>
            <xdr:cNvSpPr>
              <a:spLocks noChangeShapeType="1"/>
            </xdr:cNvSpPr>
          </xdr:nvSpPr>
          <xdr:spPr bwMode="auto">
            <a:xfrm>
              <a:off x="910" y="705"/>
              <a:ext cx="0" cy="187"/>
            </a:xfrm>
            <a:prstGeom prst="line">
              <a:avLst/>
            </a:prstGeom>
            <a:noFill/>
            <a:ln w="28575">
              <a:solidFill>
                <a:srgbClr val="A6CAF0"/>
              </a:solidFill>
              <a:round/>
              <a:headEnd/>
              <a:tailEnd/>
            </a:ln>
          </xdr:spPr>
        </xdr:sp>
        <xdr:sp macro="" textlink="">
          <xdr:nvSpPr>
            <xdr:cNvPr id="425" name="Line 47">
              <a:extLst>
                <a:ext uri="{FF2B5EF4-FFF2-40B4-BE49-F238E27FC236}">
                  <a16:creationId xmlns:a16="http://schemas.microsoft.com/office/drawing/2014/main" id="{00000000-0008-0000-1000-0000A9010000}"/>
                </a:ext>
              </a:extLst>
            </xdr:cNvPr>
            <xdr:cNvSpPr>
              <a:spLocks noChangeShapeType="1"/>
            </xdr:cNvSpPr>
          </xdr:nvSpPr>
          <xdr:spPr bwMode="auto">
            <a:xfrm>
              <a:off x="897" y="707"/>
              <a:ext cx="1" cy="152"/>
            </a:xfrm>
            <a:prstGeom prst="line">
              <a:avLst/>
            </a:prstGeom>
            <a:noFill/>
            <a:ln w="19050">
              <a:solidFill>
                <a:srgbClr val="A6CAF0"/>
              </a:solidFill>
              <a:round/>
              <a:headEnd/>
              <a:tailEnd/>
            </a:ln>
          </xdr:spPr>
        </xdr:sp>
        <xdr:sp macro="" textlink="">
          <xdr:nvSpPr>
            <xdr:cNvPr id="426" name="Line 48">
              <a:extLst>
                <a:ext uri="{FF2B5EF4-FFF2-40B4-BE49-F238E27FC236}">
                  <a16:creationId xmlns:a16="http://schemas.microsoft.com/office/drawing/2014/main" id="{00000000-0008-0000-1000-0000AA010000}"/>
                </a:ext>
              </a:extLst>
            </xdr:cNvPr>
            <xdr:cNvSpPr>
              <a:spLocks noChangeShapeType="1"/>
            </xdr:cNvSpPr>
          </xdr:nvSpPr>
          <xdr:spPr bwMode="auto">
            <a:xfrm>
              <a:off x="885" y="721"/>
              <a:ext cx="1" cy="152"/>
            </a:xfrm>
            <a:prstGeom prst="line">
              <a:avLst/>
            </a:prstGeom>
            <a:noFill/>
            <a:ln w="19050">
              <a:solidFill>
                <a:srgbClr val="00CCFF"/>
              </a:solidFill>
              <a:round/>
              <a:headEnd/>
              <a:tailEnd/>
            </a:ln>
          </xdr:spPr>
        </xdr:sp>
        <xdr:sp macro="" textlink="">
          <xdr:nvSpPr>
            <xdr:cNvPr id="427" name="Freeform 49">
              <a:extLst>
                <a:ext uri="{FF2B5EF4-FFF2-40B4-BE49-F238E27FC236}">
                  <a16:creationId xmlns:a16="http://schemas.microsoft.com/office/drawing/2014/main" id="{00000000-0008-0000-1000-0000AB010000}"/>
                </a:ext>
              </a:extLst>
            </xdr:cNvPr>
            <xdr:cNvSpPr>
              <a:spLocks/>
            </xdr:cNvSpPr>
          </xdr:nvSpPr>
          <xdr:spPr bwMode="auto">
            <a:xfrm>
              <a:off x="883"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428" name="Line 50">
              <a:extLst>
                <a:ext uri="{FF2B5EF4-FFF2-40B4-BE49-F238E27FC236}">
                  <a16:creationId xmlns:a16="http://schemas.microsoft.com/office/drawing/2014/main" id="{00000000-0008-0000-1000-0000AC010000}"/>
                </a:ext>
              </a:extLst>
            </xdr:cNvPr>
            <xdr:cNvSpPr>
              <a:spLocks noChangeShapeType="1"/>
            </xdr:cNvSpPr>
          </xdr:nvSpPr>
          <xdr:spPr bwMode="auto">
            <a:xfrm>
              <a:off x="881" y="706"/>
              <a:ext cx="0" cy="0"/>
            </a:xfrm>
            <a:prstGeom prst="line">
              <a:avLst/>
            </a:prstGeom>
            <a:noFill/>
            <a:ln w="9525">
              <a:solidFill>
                <a:srgbClr val="000000"/>
              </a:solidFill>
              <a:round/>
              <a:headEnd/>
              <a:tailEnd/>
            </a:ln>
          </xdr:spPr>
        </xdr:sp>
        <xdr:sp macro="" textlink="">
          <xdr:nvSpPr>
            <xdr:cNvPr id="429" name="Freeform 51">
              <a:extLst>
                <a:ext uri="{FF2B5EF4-FFF2-40B4-BE49-F238E27FC236}">
                  <a16:creationId xmlns:a16="http://schemas.microsoft.com/office/drawing/2014/main" id="{00000000-0008-0000-1000-0000AD010000}"/>
                </a:ext>
              </a:extLst>
            </xdr:cNvPr>
            <xdr:cNvSpPr>
              <a:spLocks/>
            </xdr:cNvSpPr>
          </xdr:nvSpPr>
          <xdr:spPr bwMode="auto">
            <a:xfrm>
              <a:off x="876"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430" name="Group 52">
              <a:extLst>
                <a:ext uri="{FF2B5EF4-FFF2-40B4-BE49-F238E27FC236}">
                  <a16:creationId xmlns:a16="http://schemas.microsoft.com/office/drawing/2014/main" id="{00000000-0008-0000-1000-0000AE010000}"/>
                </a:ext>
              </a:extLst>
            </xdr:cNvPr>
            <xdr:cNvGrpSpPr>
              <a:grpSpLocks/>
            </xdr:cNvGrpSpPr>
          </xdr:nvGrpSpPr>
          <xdr:grpSpPr bwMode="auto">
            <a:xfrm>
              <a:off x="885" y="652"/>
              <a:ext cx="65" cy="47"/>
              <a:chOff x="112" y="627"/>
              <a:chExt cx="65" cy="47"/>
            </a:xfrm>
          </xdr:grpSpPr>
          <xdr:sp macro="" textlink="">
            <xdr:nvSpPr>
              <xdr:cNvPr id="457" name="Freeform 53">
                <a:extLst>
                  <a:ext uri="{FF2B5EF4-FFF2-40B4-BE49-F238E27FC236}">
                    <a16:creationId xmlns:a16="http://schemas.microsoft.com/office/drawing/2014/main" id="{00000000-0008-0000-1000-0000C9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58" name="Freeform 54">
                <a:extLst>
                  <a:ext uri="{FF2B5EF4-FFF2-40B4-BE49-F238E27FC236}">
                    <a16:creationId xmlns:a16="http://schemas.microsoft.com/office/drawing/2014/main" id="{00000000-0008-0000-1000-0000CA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431" name="Line 55">
              <a:extLst>
                <a:ext uri="{FF2B5EF4-FFF2-40B4-BE49-F238E27FC236}">
                  <a16:creationId xmlns:a16="http://schemas.microsoft.com/office/drawing/2014/main" id="{00000000-0008-0000-1000-0000AF010000}"/>
                </a:ext>
              </a:extLst>
            </xdr:cNvPr>
            <xdr:cNvSpPr>
              <a:spLocks noChangeShapeType="1"/>
            </xdr:cNvSpPr>
          </xdr:nvSpPr>
          <xdr:spPr bwMode="auto">
            <a:xfrm>
              <a:off x="909" y="693"/>
              <a:ext cx="0" cy="3"/>
            </a:xfrm>
            <a:prstGeom prst="line">
              <a:avLst/>
            </a:prstGeom>
            <a:noFill/>
            <a:ln w="9525">
              <a:solidFill>
                <a:srgbClr val="000000"/>
              </a:solidFill>
              <a:round/>
              <a:headEnd/>
              <a:tailEnd/>
            </a:ln>
          </xdr:spPr>
        </xdr:sp>
        <xdr:sp macro="" textlink="">
          <xdr:nvSpPr>
            <xdr:cNvPr id="432" name="Line 56">
              <a:extLst>
                <a:ext uri="{FF2B5EF4-FFF2-40B4-BE49-F238E27FC236}">
                  <a16:creationId xmlns:a16="http://schemas.microsoft.com/office/drawing/2014/main" id="{00000000-0008-0000-1000-0000B0010000}"/>
                </a:ext>
              </a:extLst>
            </xdr:cNvPr>
            <xdr:cNvSpPr>
              <a:spLocks noChangeShapeType="1"/>
            </xdr:cNvSpPr>
          </xdr:nvSpPr>
          <xdr:spPr bwMode="auto">
            <a:xfrm flipV="1">
              <a:off x="886" y="711"/>
              <a:ext cx="11" cy="11"/>
            </a:xfrm>
            <a:prstGeom prst="line">
              <a:avLst/>
            </a:prstGeom>
            <a:noFill/>
            <a:ln w="19050">
              <a:solidFill>
                <a:srgbClr val="A6CAF0"/>
              </a:solidFill>
              <a:round/>
              <a:headEnd/>
              <a:tailEnd/>
            </a:ln>
          </xdr:spPr>
        </xdr:sp>
        <xdr:sp macro="" textlink="">
          <xdr:nvSpPr>
            <xdr:cNvPr id="433" name="Line 57">
              <a:extLst>
                <a:ext uri="{FF2B5EF4-FFF2-40B4-BE49-F238E27FC236}">
                  <a16:creationId xmlns:a16="http://schemas.microsoft.com/office/drawing/2014/main" id="{00000000-0008-0000-1000-0000B1010000}"/>
                </a:ext>
              </a:extLst>
            </xdr:cNvPr>
            <xdr:cNvSpPr>
              <a:spLocks noChangeShapeType="1"/>
            </xdr:cNvSpPr>
          </xdr:nvSpPr>
          <xdr:spPr bwMode="auto">
            <a:xfrm flipV="1">
              <a:off x="882" y="707"/>
              <a:ext cx="12" cy="13"/>
            </a:xfrm>
            <a:prstGeom prst="line">
              <a:avLst/>
            </a:prstGeom>
            <a:noFill/>
            <a:ln w="19050">
              <a:solidFill>
                <a:srgbClr val="A6CAF0"/>
              </a:solidFill>
              <a:round/>
              <a:headEnd/>
              <a:tailEnd/>
            </a:ln>
          </xdr:spPr>
        </xdr:sp>
        <xdr:sp macro="" textlink="">
          <xdr:nvSpPr>
            <xdr:cNvPr id="434" name="Freeform 58">
              <a:extLst>
                <a:ext uri="{FF2B5EF4-FFF2-40B4-BE49-F238E27FC236}">
                  <a16:creationId xmlns:a16="http://schemas.microsoft.com/office/drawing/2014/main" id="{00000000-0008-0000-1000-0000B2010000}"/>
                </a:ext>
              </a:extLst>
            </xdr:cNvPr>
            <xdr:cNvSpPr>
              <a:spLocks/>
            </xdr:cNvSpPr>
          </xdr:nvSpPr>
          <xdr:spPr bwMode="auto">
            <a:xfrm>
              <a:off x="837" y="719"/>
              <a:ext cx="48" cy="22"/>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435" name="Freeform 59">
              <a:extLst>
                <a:ext uri="{FF2B5EF4-FFF2-40B4-BE49-F238E27FC236}">
                  <a16:creationId xmlns:a16="http://schemas.microsoft.com/office/drawing/2014/main" id="{00000000-0008-0000-1000-0000B3010000}"/>
                </a:ext>
              </a:extLst>
            </xdr:cNvPr>
            <xdr:cNvSpPr>
              <a:spLocks/>
            </xdr:cNvSpPr>
          </xdr:nvSpPr>
          <xdr:spPr bwMode="auto">
            <a:xfrm>
              <a:off x="882"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436" name="Line 60">
              <a:extLst>
                <a:ext uri="{FF2B5EF4-FFF2-40B4-BE49-F238E27FC236}">
                  <a16:creationId xmlns:a16="http://schemas.microsoft.com/office/drawing/2014/main" id="{00000000-0008-0000-1000-0000B4010000}"/>
                </a:ext>
              </a:extLst>
            </xdr:cNvPr>
            <xdr:cNvSpPr>
              <a:spLocks noChangeShapeType="1"/>
            </xdr:cNvSpPr>
          </xdr:nvSpPr>
          <xdr:spPr bwMode="auto">
            <a:xfrm>
              <a:off x="933" y="706"/>
              <a:ext cx="0" cy="0"/>
            </a:xfrm>
            <a:prstGeom prst="line">
              <a:avLst/>
            </a:prstGeom>
            <a:noFill/>
            <a:ln w="9525">
              <a:solidFill>
                <a:srgbClr val="000000"/>
              </a:solidFill>
              <a:round/>
              <a:headEnd/>
              <a:tailEnd/>
            </a:ln>
          </xdr:spPr>
        </xdr:sp>
        <xdr:sp macro="" textlink="">
          <xdr:nvSpPr>
            <xdr:cNvPr id="437" name="Freeform 61">
              <a:extLst>
                <a:ext uri="{FF2B5EF4-FFF2-40B4-BE49-F238E27FC236}">
                  <a16:creationId xmlns:a16="http://schemas.microsoft.com/office/drawing/2014/main" id="{00000000-0008-0000-1000-0000B5010000}"/>
                </a:ext>
              </a:extLst>
            </xdr:cNvPr>
            <xdr:cNvSpPr>
              <a:spLocks/>
            </xdr:cNvSpPr>
          </xdr:nvSpPr>
          <xdr:spPr bwMode="auto">
            <a:xfrm>
              <a:off x="907"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438" name="Freeform 62">
              <a:extLst>
                <a:ext uri="{FF2B5EF4-FFF2-40B4-BE49-F238E27FC236}">
                  <a16:creationId xmlns:a16="http://schemas.microsoft.com/office/drawing/2014/main" id="{00000000-0008-0000-1000-0000B6010000}"/>
                </a:ext>
              </a:extLst>
            </xdr:cNvPr>
            <xdr:cNvSpPr>
              <a:spLocks/>
            </xdr:cNvSpPr>
          </xdr:nvSpPr>
          <xdr:spPr bwMode="auto">
            <a:xfrm>
              <a:off x="889" y="720"/>
              <a:ext cx="23" cy="176"/>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439" name="Line 63">
              <a:extLst>
                <a:ext uri="{FF2B5EF4-FFF2-40B4-BE49-F238E27FC236}">
                  <a16:creationId xmlns:a16="http://schemas.microsoft.com/office/drawing/2014/main" id="{00000000-0008-0000-1000-0000B7010000}"/>
                </a:ext>
              </a:extLst>
            </xdr:cNvPr>
            <xdr:cNvSpPr>
              <a:spLocks noChangeShapeType="1"/>
            </xdr:cNvSpPr>
          </xdr:nvSpPr>
          <xdr:spPr bwMode="auto">
            <a:xfrm flipV="1">
              <a:off x="912" y="707"/>
              <a:ext cx="13" cy="13"/>
            </a:xfrm>
            <a:prstGeom prst="line">
              <a:avLst/>
            </a:prstGeom>
            <a:noFill/>
            <a:ln w="28575">
              <a:solidFill>
                <a:srgbClr val="A6CAF0"/>
              </a:solidFill>
              <a:round/>
              <a:headEnd/>
              <a:tailEnd/>
            </a:ln>
          </xdr:spPr>
        </xdr:sp>
        <xdr:sp macro="" textlink="">
          <xdr:nvSpPr>
            <xdr:cNvPr id="440" name="Freeform 64">
              <a:extLst>
                <a:ext uri="{FF2B5EF4-FFF2-40B4-BE49-F238E27FC236}">
                  <a16:creationId xmlns:a16="http://schemas.microsoft.com/office/drawing/2014/main" id="{00000000-0008-0000-1000-0000B8010000}"/>
                </a:ext>
              </a:extLst>
            </xdr:cNvPr>
            <xdr:cNvSpPr>
              <a:spLocks/>
            </xdr:cNvSpPr>
          </xdr:nvSpPr>
          <xdr:spPr bwMode="auto">
            <a:xfrm>
              <a:off x="923"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441" name="Freeform 65">
              <a:extLst>
                <a:ext uri="{FF2B5EF4-FFF2-40B4-BE49-F238E27FC236}">
                  <a16:creationId xmlns:a16="http://schemas.microsoft.com/office/drawing/2014/main" id="{00000000-0008-0000-1000-0000B9010000}"/>
                </a:ext>
              </a:extLst>
            </xdr:cNvPr>
            <xdr:cNvSpPr>
              <a:spLocks/>
            </xdr:cNvSpPr>
          </xdr:nvSpPr>
          <xdr:spPr bwMode="auto">
            <a:xfrm>
              <a:off x="911"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442" name="Line 66">
              <a:extLst>
                <a:ext uri="{FF2B5EF4-FFF2-40B4-BE49-F238E27FC236}">
                  <a16:creationId xmlns:a16="http://schemas.microsoft.com/office/drawing/2014/main" id="{00000000-0008-0000-1000-0000BA010000}"/>
                </a:ext>
              </a:extLst>
            </xdr:cNvPr>
            <xdr:cNvSpPr>
              <a:spLocks noChangeShapeType="1"/>
            </xdr:cNvSpPr>
          </xdr:nvSpPr>
          <xdr:spPr bwMode="auto">
            <a:xfrm>
              <a:off x="937" y="705"/>
              <a:ext cx="0" cy="187"/>
            </a:xfrm>
            <a:prstGeom prst="line">
              <a:avLst/>
            </a:prstGeom>
            <a:noFill/>
            <a:ln w="28575">
              <a:solidFill>
                <a:srgbClr val="A6CAF0"/>
              </a:solidFill>
              <a:round/>
              <a:headEnd/>
              <a:tailEnd/>
            </a:ln>
          </xdr:spPr>
        </xdr:sp>
        <xdr:sp macro="" textlink="">
          <xdr:nvSpPr>
            <xdr:cNvPr id="443" name="Line 67">
              <a:extLst>
                <a:ext uri="{FF2B5EF4-FFF2-40B4-BE49-F238E27FC236}">
                  <a16:creationId xmlns:a16="http://schemas.microsoft.com/office/drawing/2014/main" id="{00000000-0008-0000-1000-0000BB010000}"/>
                </a:ext>
              </a:extLst>
            </xdr:cNvPr>
            <xdr:cNvSpPr>
              <a:spLocks noChangeShapeType="1"/>
            </xdr:cNvSpPr>
          </xdr:nvSpPr>
          <xdr:spPr bwMode="auto">
            <a:xfrm>
              <a:off x="924" y="707"/>
              <a:ext cx="1" cy="152"/>
            </a:xfrm>
            <a:prstGeom prst="line">
              <a:avLst/>
            </a:prstGeom>
            <a:noFill/>
            <a:ln w="19050">
              <a:solidFill>
                <a:srgbClr val="A6CAF0"/>
              </a:solidFill>
              <a:round/>
              <a:headEnd/>
              <a:tailEnd/>
            </a:ln>
          </xdr:spPr>
        </xdr:sp>
        <xdr:sp macro="" textlink="">
          <xdr:nvSpPr>
            <xdr:cNvPr id="444" name="Line 68">
              <a:extLst>
                <a:ext uri="{FF2B5EF4-FFF2-40B4-BE49-F238E27FC236}">
                  <a16:creationId xmlns:a16="http://schemas.microsoft.com/office/drawing/2014/main" id="{00000000-0008-0000-1000-0000BC010000}"/>
                </a:ext>
              </a:extLst>
            </xdr:cNvPr>
            <xdr:cNvSpPr>
              <a:spLocks noChangeShapeType="1"/>
            </xdr:cNvSpPr>
          </xdr:nvSpPr>
          <xdr:spPr bwMode="auto">
            <a:xfrm>
              <a:off x="912" y="721"/>
              <a:ext cx="1" cy="152"/>
            </a:xfrm>
            <a:prstGeom prst="line">
              <a:avLst/>
            </a:prstGeom>
            <a:noFill/>
            <a:ln w="19050">
              <a:solidFill>
                <a:srgbClr val="00CCFF"/>
              </a:solidFill>
              <a:round/>
              <a:headEnd/>
              <a:tailEnd/>
            </a:ln>
          </xdr:spPr>
        </xdr:sp>
        <xdr:sp macro="" textlink="">
          <xdr:nvSpPr>
            <xdr:cNvPr id="445" name="Freeform 69">
              <a:extLst>
                <a:ext uri="{FF2B5EF4-FFF2-40B4-BE49-F238E27FC236}">
                  <a16:creationId xmlns:a16="http://schemas.microsoft.com/office/drawing/2014/main" id="{00000000-0008-0000-1000-0000BD010000}"/>
                </a:ext>
              </a:extLst>
            </xdr:cNvPr>
            <xdr:cNvSpPr>
              <a:spLocks/>
            </xdr:cNvSpPr>
          </xdr:nvSpPr>
          <xdr:spPr bwMode="auto">
            <a:xfrm>
              <a:off x="910"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446" name="Line 70">
              <a:extLst>
                <a:ext uri="{FF2B5EF4-FFF2-40B4-BE49-F238E27FC236}">
                  <a16:creationId xmlns:a16="http://schemas.microsoft.com/office/drawing/2014/main" id="{00000000-0008-0000-1000-0000BE010000}"/>
                </a:ext>
              </a:extLst>
            </xdr:cNvPr>
            <xdr:cNvSpPr>
              <a:spLocks noChangeShapeType="1"/>
            </xdr:cNvSpPr>
          </xdr:nvSpPr>
          <xdr:spPr bwMode="auto">
            <a:xfrm>
              <a:off x="908" y="706"/>
              <a:ext cx="0" cy="0"/>
            </a:xfrm>
            <a:prstGeom prst="line">
              <a:avLst/>
            </a:prstGeom>
            <a:noFill/>
            <a:ln w="9525">
              <a:solidFill>
                <a:srgbClr val="000000"/>
              </a:solidFill>
              <a:round/>
              <a:headEnd/>
              <a:tailEnd/>
            </a:ln>
          </xdr:spPr>
        </xdr:sp>
        <xdr:sp macro="" textlink="">
          <xdr:nvSpPr>
            <xdr:cNvPr id="447" name="Freeform 71">
              <a:extLst>
                <a:ext uri="{FF2B5EF4-FFF2-40B4-BE49-F238E27FC236}">
                  <a16:creationId xmlns:a16="http://schemas.microsoft.com/office/drawing/2014/main" id="{00000000-0008-0000-1000-0000BF010000}"/>
                </a:ext>
              </a:extLst>
            </xdr:cNvPr>
            <xdr:cNvSpPr>
              <a:spLocks/>
            </xdr:cNvSpPr>
          </xdr:nvSpPr>
          <xdr:spPr bwMode="auto">
            <a:xfrm>
              <a:off x="903"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448" name="Group 72">
              <a:extLst>
                <a:ext uri="{FF2B5EF4-FFF2-40B4-BE49-F238E27FC236}">
                  <a16:creationId xmlns:a16="http://schemas.microsoft.com/office/drawing/2014/main" id="{00000000-0008-0000-1000-0000C0010000}"/>
                </a:ext>
              </a:extLst>
            </xdr:cNvPr>
            <xdr:cNvGrpSpPr>
              <a:grpSpLocks/>
            </xdr:cNvGrpSpPr>
          </xdr:nvGrpSpPr>
          <xdr:grpSpPr bwMode="auto">
            <a:xfrm>
              <a:off x="912" y="652"/>
              <a:ext cx="65" cy="47"/>
              <a:chOff x="112" y="627"/>
              <a:chExt cx="65" cy="47"/>
            </a:xfrm>
          </xdr:grpSpPr>
          <xdr:sp macro="" textlink="">
            <xdr:nvSpPr>
              <xdr:cNvPr id="455" name="Freeform 73">
                <a:extLst>
                  <a:ext uri="{FF2B5EF4-FFF2-40B4-BE49-F238E27FC236}">
                    <a16:creationId xmlns:a16="http://schemas.microsoft.com/office/drawing/2014/main" id="{00000000-0008-0000-1000-0000C7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56" name="Freeform 74">
                <a:extLst>
                  <a:ext uri="{FF2B5EF4-FFF2-40B4-BE49-F238E27FC236}">
                    <a16:creationId xmlns:a16="http://schemas.microsoft.com/office/drawing/2014/main" id="{00000000-0008-0000-1000-0000C8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449" name="Line 75">
              <a:extLst>
                <a:ext uri="{FF2B5EF4-FFF2-40B4-BE49-F238E27FC236}">
                  <a16:creationId xmlns:a16="http://schemas.microsoft.com/office/drawing/2014/main" id="{00000000-0008-0000-1000-0000C1010000}"/>
                </a:ext>
              </a:extLst>
            </xdr:cNvPr>
            <xdr:cNvSpPr>
              <a:spLocks noChangeShapeType="1"/>
            </xdr:cNvSpPr>
          </xdr:nvSpPr>
          <xdr:spPr bwMode="auto">
            <a:xfrm>
              <a:off x="936" y="693"/>
              <a:ext cx="0" cy="3"/>
            </a:xfrm>
            <a:prstGeom prst="line">
              <a:avLst/>
            </a:prstGeom>
            <a:noFill/>
            <a:ln w="9525">
              <a:solidFill>
                <a:srgbClr val="000000"/>
              </a:solidFill>
              <a:round/>
              <a:headEnd/>
              <a:tailEnd/>
            </a:ln>
          </xdr:spPr>
        </xdr:sp>
        <xdr:sp macro="" textlink="">
          <xdr:nvSpPr>
            <xdr:cNvPr id="450" name="Line 76">
              <a:extLst>
                <a:ext uri="{FF2B5EF4-FFF2-40B4-BE49-F238E27FC236}">
                  <a16:creationId xmlns:a16="http://schemas.microsoft.com/office/drawing/2014/main" id="{00000000-0008-0000-1000-0000C2010000}"/>
                </a:ext>
              </a:extLst>
            </xdr:cNvPr>
            <xdr:cNvSpPr>
              <a:spLocks noChangeShapeType="1"/>
            </xdr:cNvSpPr>
          </xdr:nvSpPr>
          <xdr:spPr bwMode="auto">
            <a:xfrm flipV="1">
              <a:off x="913" y="711"/>
              <a:ext cx="11" cy="11"/>
            </a:xfrm>
            <a:prstGeom prst="line">
              <a:avLst/>
            </a:prstGeom>
            <a:noFill/>
            <a:ln w="19050">
              <a:solidFill>
                <a:srgbClr val="A6CAF0"/>
              </a:solidFill>
              <a:round/>
              <a:headEnd/>
              <a:tailEnd/>
            </a:ln>
          </xdr:spPr>
        </xdr:sp>
        <xdr:sp macro="" textlink="">
          <xdr:nvSpPr>
            <xdr:cNvPr id="451" name="Line 77">
              <a:extLst>
                <a:ext uri="{FF2B5EF4-FFF2-40B4-BE49-F238E27FC236}">
                  <a16:creationId xmlns:a16="http://schemas.microsoft.com/office/drawing/2014/main" id="{00000000-0008-0000-1000-0000C3010000}"/>
                </a:ext>
              </a:extLst>
            </xdr:cNvPr>
            <xdr:cNvSpPr>
              <a:spLocks noChangeShapeType="1"/>
            </xdr:cNvSpPr>
          </xdr:nvSpPr>
          <xdr:spPr bwMode="auto">
            <a:xfrm flipV="1">
              <a:off x="909" y="707"/>
              <a:ext cx="12" cy="13"/>
            </a:xfrm>
            <a:prstGeom prst="line">
              <a:avLst/>
            </a:prstGeom>
            <a:noFill/>
            <a:ln w="19050">
              <a:solidFill>
                <a:srgbClr val="A6CAF0"/>
              </a:solidFill>
              <a:round/>
              <a:headEnd/>
              <a:tailEnd/>
            </a:ln>
          </xdr:spPr>
        </xdr:sp>
        <xdr:sp macro="" textlink="">
          <xdr:nvSpPr>
            <xdr:cNvPr id="452" name="Freeform 78">
              <a:extLst>
                <a:ext uri="{FF2B5EF4-FFF2-40B4-BE49-F238E27FC236}">
                  <a16:creationId xmlns:a16="http://schemas.microsoft.com/office/drawing/2014/main" id="{00000000-0008-0000-1000-0000C4010000}"/>
                </a:ext>
              </a:extLst>
            </xdr:cNvPr>
            <xdr:cNvSpPr>
              <a:spLocks/>
            </xdr:cNvSpPr>
          </xdr:nvSpPr>
          <xdr:spPr bwMode="auto">
            <a:xfrm>
              <a:off x="909"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453" name="Line 79">
              <a:extLst>
                <a:ext uri="{FF2B5EF4-FFF2-40B4-BE49-F238E27FC236}">
                  <a16:creationId xmlns:a16="http://schemas.microsoft.com/office/drawing/2014/main" id="{00000000-0008-0000-1000-0000C5010000}"/>
                </a:ext>
              </a:extLst>
            </xdr:cNvPr>
            <xdr:cNvSpPr>
              <a:spLocks noChangeShapeType="1"/>
            </xdr:cNvSpPr>
          </xdr:nvSpPr>
          <xdr:spPr bwMode="auto">
            <a:xfrm>
              <a:off x="960" y="706"/>
              <a:ext cx="0" cy="0"/>
            </a:xfrm>
            <a:prstGeom prst="line">
              <a:avLst/>
            </a:prstGeom>
            <a:noFill/>
            <a:ln w="9525">
              <a:solidFill>
                <a:srgbClr val="000000"/>
              </a:solidFill>
              <a:round/>
              <a:headEnd/>
              <a:tailEnd/>
            </a:ln>
          </xdr:spPr>
        </xdr:sp>
        <xdr:sp macro="" textlink="">
          <xdr:nvSpPr>
            <xdr:cNvPr id="454" name="Freeform 80">
              <a:extLst>
                <a:ext uri="{FF2B5EF4-FFF2-40B4-BE49-F238E27FC236}">
                  <a16:creationId xmlns:a16="http://schemas.microsoft.com/office/drawing/2014/main" id="{00000000-0008-0000-1000-0000C6010000}"/>
                </a:ext>
              </a:extLst>
            </xdr:cNvPr>
            <xdr:cNvSpPr>
              <a:spLocks/>
            </xdr:cNvSpPr>
          </xdr:nvSpPr>
          <xdr:spPr bwMode="auto">
            <a:xfrm>
              <a:off x="889" y="719"/>
              <a:ext cx="29" cy="19"/>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sp macro="" textlink="">
        <xdr:nvSpPr>
          <xdr:cNvPr id="204" name="Freeform 82">
            <a:extLst>
              <a:ext uri="{FF2B5EF4-FFF2-40B4-BE49-F238E27FC236}">
                <a16:creationId xmlns:a16="http://schemas.microsoft.com/office/drawing/2014/main" id="{00000000-0008-0000-1000-0000CC000000}"/>
              </a:ext>
            </a:extLst>
          </xdr:cNvPr>
          <xdr:cNvSpPr>
            <a:spLocks/>
          </xdr:cNvSpPr>
        </xdr:nvSpPr>
        <xdr:spPr bwMode="auto">
          <a:xfrm>
            <a:off x="3971925" y="2190750"/>
            <a:ext cx="590550" cy="400050"/>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205" name="Rectangle 83">
            <a:extLst>
              <a:ext uri="{FF2B5EF4-FFF2-40B4-BE49-F238E27FC236}">
                <a16:creationId xmlns:a16="http://schemas.microsoft.com/office/drawing/2014/main" id="{00000000-0008-0000-1000-0000CD000000}"/>
              </a:ext>
            </a:extLst>
          </xdr:cNvPr>
          <xdr:cNvSpPr>
            <a:spLocks noChangeArrowheads="1"/>
          </xdr:cNvSpPr>
        </xdr:nvSpPr>
        <xdr:spPr bwMode="auto">
          <a:xfrm>
            <a:off x="3562350" y="2943225"/>
            <a:ext cx="257175" cy="1438275"/>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206" name="Freeform 84">
            <a:extLst>
              <a:ext uri="{FF2B5EF4-FFF2-40B4-BE49-F238E27FC236}">
                <a16:creationId xmlns:a16="http://schemas.microsoft.com/office/drawing/2014/main" id="{00000000-0008-0000-1000-0000CE000000}"/>
              </a:ext>
            </a:extLst>
          </xdr:cNvPr>
          <xdr:cNvSpPr>
            <a:spLocks/>
          </xdr:cNvSpPr>
        </xdr:nvSpPr>
        <xdr:spPr bwMode="auto">
          <a:xfrm>
            <a:off x="3819525" y="2743200"/>
            <a:ext cx="200025" cy="1685925"/>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207" name="Line 85">
            <a:extLst>
              <a:ext uri="{FF2B5EF4-FFF2-40B4-BE49-F238E27FC236}">
                <a16:creationId xmlns:a16="http://schemas.microsoft.com/office/drawing/2014/main" id="{00000000-0008-0000-1000-0000CF000000}"/>
              </a:ext>
            </a:extLst>
          </xdr:cNvPr>
          <xdr:cNvSpPr>
            <a:spLocks noChangeShapeType="1"/>
          </xdr:cNvSpPr>
        </xdr:nvSpPr>
        <xdr:spPr bwMode="auto">
          <a:xfrm flipV="1">
            <a:off x="4019550" y="2619375"/>
            <a:ext cx="123825" cy="123825"/>
          </a:xfrm>
          <a:prstGeom prst="line">
            <a:avLst/>
          </a:prstGeom>
          <a:noFill/>
          <a:ln w="28575">
            <a:solidFill>
              <a:srgbClr val="A6CAF0"/>
            </a:solidFill>
            <a:round/>
            <a:headEnd/>
            <a:tailEnd/>
          </a:ln>
        </xdr:spPr>
      </xdr:sp>
      <xdr:sp macro="" textlink="">
        <xdr:nvSpPr>
          <xdr:cNvPr id="208" name="Freeform 86">
            <a:extLst>
              <a:ext uri="{FF2B5EF4-FFF2-40B4-BE49-F238E27FC236}">
                <a16:creationId xmlns:a16="http://schemas.microsoft.com/office/drawing/2014/main" id="{00000000-0008-0000-1000-0000D0000000}"/>
              </a:ext>
            </a:extLst>
          </xdr:cNvPr>
          <xdr:cNvSpPr>
            <a:spLocks/>
          </xdr:cNvSpPr>
        </xdr:nvSpPr>
        <xdr:spPr bwMode="auto">
          <a:xfrm>
            <a:off x="4124325" y="2524125"/>
            <a:ext cx="257175" cy="1924050"/>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209" name="Freeform 87">
            <a:extLst>
              <a:ext uri="{FF2B5EF4-FFF2-40B4-BE49-F238E27FC236}">
                <a16:creationId xmlns:a16="http://schemas.microsoft.com/office/drawing/2014/main" id="{00000000-0008-0000-1000-0000D1000000}"/>
              </a:ext>
            </a:extLst>
          </xdr:cNvPr>
          <xdr:cNvSpPr>
            <a:spLocks/>
          </xdr:cNvSpPr>
        </xdr:nvSpPr>
        <xdr:spPr bwMode="auto">
          <a:xfrm>
            <a:off x="4010025" y="2619375"/>
            <a:ext cx="123825" cy="1485900"/>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210" name="Line 88">
            <a:extLst>
              <a:ext uri="{FF2B5EF4-FFF2-40B4-BE49-F238E27FC236}">
                <a16:creationId xmlns:a16="http://schemas.microsoft.com/office/drawing/2014/main" id="{00000000-0008-0000-1000-0000D2000000}"/>
              </a:ext>
            </a:extLst>
          </xdr:cNvPr>
          <xdr:cNvSpPr>
            <a:spLocks noChangeShapeType="1"/>
          </xdr:cNvSpPr>
        </xdr:nvSpPr>
        <xdr:spPr bwMode="auto">
          <a:xfrm>
            <a:off x="4257675" y="2600325"/>
            <a:ext cx="0" cy="1781175"/>
          </a:xfrm>
          <a:prstGeom prst="line">
            <a:avLst/>
          </a:prstGeom>
          <a:noFill/>
          <a:ln w="28575">
            <a:solidFill>
              <a:srgbClr val="A6CAF0"/>
            </a:solidFill>
            <a:round/>
            <a:headEnd/>
            <a:tailEnd/>
          </a:ln>
        </xdr:spPr>
      </xdr:sp>
      <xdr:sp macro="" textlink="">
        <xdr:nvSpPr>
          <xdr:cNvPr id="211" name="Line 89">
            <a:extLst>
              <a:ext uri="{FF2B5EF4-FFF2-40B4-BE49-F238E27FC236}">
                <a16:creationId xmlns:a16="http://schemas.microsoft.com/office/drawing/2014/main" id="{00000000-0008-0000-1000-0000D3000000}"/>
              </a:ext>
            </a:extLst>
          </xdr:cNvPr>
          <xdr:cNvSpPr>
            <a:spLocks noChangeShapeType="1"/>
          </xdr:cNvSpPr>
        </xdr:nvSpPr>
        <xdr:spPr bwMode="auto">
          <a:xfrm>
            <a:off x="4133850" y="2619375"/>
            <a:ext cx="9525" cy="1447800"/>
          </a:xfrm>
          <a:prstGeom prst="line">
            <a:avLst/>
          </a:prstGeom>
          <a:noFill/>
          <a:ln w="19050">
            <a:solidFill>
              <a:srgbClr val="A6CAF0"/>
            </a:solidFill>
            <a:round/>
            <a:headEnd/>
            <a:tailEnd/>
          </a:ln>
        </xdr:spPr>
      </xdr:sp>
      <xdr:sp macro="" textlink="">
        <xdr:nvSpPr>
          <xdr:cNvPr id="212" name="Line 90">
            <a:extLst>
              <a:ext uri="{FF2B5EF4-FFF2-40B4-BE49-F238E27FC236}">
                <a16:creationId xmlns:a16="http://schemas.microsoft.com/office/drawing/2014/main" id="{00000000-0008-0000-1000-0000D4000000}"/>
              </a:ext>
            </a:extLst>
          </xdr:cNvPr>
          <xdr:cNvSpPr>
            <a:spLocks noChangeShapeType="1"/>
          </xdr:cNvSpPr>
        </xdr:nvSpPr>
        <xdr:spPr bwMode="auto">
          <a:xfrm>
            <a:off x="4019550" y="2752725"/>
            <a:ext cx="9525" cy="1447800"/>
          </a:xfrm>
          <a:prstGeom prst="line">
            <a:avLst/>
          </a:prstGeom>
          <a:noFill/>
          <a:ln w="19050">
            <a:solidFill>
              <a:srgbClr val="00CCFF"/>
            </a:solidFill>
            <a:round/>
            <a:headEnd/>
            <a:tailEnd/>
          </a:ln>
        </xdr:spPr>
      </xdr:sp>
      <xdr:sp macro="" textlink="">
        <xdr:nvSpPr>
          <xdr:cNvPr id="213" name="Freeform 91">
            <a:extLst>
              <a:ext uri="{FF2B5EF4-FFF2-40B4-BE49-F238E27FC236}">
                <a16:creationId xmlns:a16="http://schemas.microsoft.com/office/drawing/2014/main" id="{00000000-0008-0000-1000-0000D5000000}"/>
              </a:ext>
            </a:extLst>
          </xdr:cNvPr>
          <xdr:cNvSpPr>
            <a:spLocks/>
          </xdr:cNvSpPr>
        </xdr:nvSpPr>
        <xdr:spPr bwMode="auto">
          <a:xfrm>
            <a:off x="4000500" y="2619375"/>
            <a:ext cx="19050" cy="14287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214" name="Line 92">
            <a:extLst>
              <a:ext uri="{FF2B5EF4-FFF2-40B4-BE49-F238E27FC236}">
                <a16:creationId xmlns:a16="http://schemas.microsoft.com/office/drawing/2014/main" id="{00000000-0008-0000-1000-0000D6000000}"/>
              </a:ext>
            </a:extLst>
          </xdr:cNvPr>
          <xdr:cNvSpPr>
            <a:spLocks noChangeShapeType="1"/>
          </xdr:cNvSpPr>
        </xdr:nvSpPr>
        <xdr:spPr bwMode="auto">
          <a:xfrm>
            <a:off x="3981450" y="2609850"/>
            <a:ext cx="0" cy="0"/>
          </a:xfrm>
          <a:prstGeom prst="line">
            <a:avLst/>
          </a:prstGeom>
          <a:noFill/>
          <a:ln w="9525">
            <a:solidFill>
              <a:srgbClr val="000000"/>
            </a:solidFill>
            <a:round/>
            <a:headEnd/>
            <a:tailEnd/>
          </a:ln>
        </xdr:spPr>
      </xdr:sp>
      <xdr:sp macro="" textlink="">
        <xdr:nvSpPr>
          <xdr:cNvPr id="215" name="Freeform 93">
            <a:extLst>
              <a:ext uri="{FF2B5EF4-FFF2-40B4-BE49-F238E27FC236}">
                <a16:creationId xmlns:a16="http://schemas.microsoft.com/office/drawing/2014/main" id="{00000000-0008-0000-1000-0000D7000000}"/>
              </a:ext>
            </a:extLst>
          </xdr:cNvPr>
          <xdr:cNvSpPr>
            <a:spLocks/>
          </xdr:cNvSpPr>
        </xdr:nvSpPr>
        <xdr:spPr bwMode="auto">
          <a:xfrm>
            <a:off x="3933825" y="2133600"/>
            <a:ext cx="695325" cy="638175"/>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216" name="Group 94">
            <a:extLst>
              <a:ext uri="{FF2B5EF4-FFF2-40B4-BE49-F238E27FC236}">
                <a16:creationId xmlns:a16="http://schemas.microsoft.com/office/drawing/2014/main" id="{00000000-0008-0000-1000-0000D8000000}"/>
              </a:ext>
            </a:extLst>
          </xdr:cNvPr>
          <xdr:cNvGrpSpPr>
            <a:grpSpLocks/>
          </xdr:cNvGrpSpPr>
        </xdr:nvGrpSpPr>
        <xdr:grpSpPr bwMode="auto">
          <a:xfrm>
            <a:off x="4019550" y="2095500"/>
            <a:ext cx="619125" cy="447675"/>
            <a:chOff x="112" y="627"/>
            <a:chExt cx="65" cy="47"/>
          </a:xfrm>
        </xdr:grpSpPr>
        <xdr:sp macro="" textlink="">
          <xdr:nvSpPr>
            <xdr:cNvPr id="416" name="Freeform 95">
              <a:extLst>
                <a:ext uri="{FF2B5EF4-FFF2-40B4-BE49-F238E27FC236}">
                  <a16:creationId xmlns:a16="http://schemas.microsoft.com/office/drawing/2014/main" id="{00000000-0008-0000-1000-0000A0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17" name="Freeform 96">
              <a:extLst>
                <a:ext uri="{FF2B5EF4-FFF2-40B4-BE49-F238E27FC236}">
                  <a16:creationId xmlns:a16="http://schemas.microsoft.com/office/drawing/2014/main" id="{00000000-0008-0000-1000-0000A1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217" name="Line 97">
            <a:extLst>
              <a:ext uri="{FF2B5EF4-FFF2-40B4-BE49-F238E27FC236}">
                <a16:creationId xmlns:a16="http://schemas.microsoft.com/office/drawing/2014/main" id="{00000000-0008-0000-1000-0000D9000000}"/>
              </a:ext>
            </a:extLst>
          </xdr:cNvPr>
          <xdr:cNvSpPr>
            <a:spLocks noChangeShapeType="1"/>
          </xdr:cNvSpPr>
        </xdr:nvSpPr>
        <xdr:spPr bwMode="auto">
          <a:xfrm>
            <a:off x="4248150" y="2486025"/>
            <a:ext cx="0" cy="28575"/>
          </a:xfrm>
          <a:prstGeom prst="line">
            <a:avLst/>
          </a:prstGeom>
          <a:noFill/>
          <a:ln w="9525">
            <a:solidFill>
              <a:srgbClr val="000000"/>
            </a:solidFill>
            <a:round/>
            <a:headEnd/>
            <a:tailEnd/>
          </a:ln>
        </xdr:spPr>
      </xdr:sp>
      <xdr:sp macro="" textlink="">
        <xdr:nvSpPr>
          <xdr:cNvPr id="218" name="Line 98">
            <a:extLst>
              <a:ext uri="{FF2B5EF4-FFF2-40B4-BE49-F238E27FC236}">
                <a16:creationId xmlns:a16="http://schemas.microsoft.com/office/drawing/2014/main" id="{00000000-0008-0000-1000-0000DA000000}"/>
              </a:ext>
            </a:extLst>
          </xdr:cNvPr>
          <xdr:cNvSpPr>
            <a:spLocks noChangeShapeType="1"/>
          </xdr:cNvSpPr>
        </xdr:nvSpPr>
        <xdr:spPr bwMode="auto">
          <a:xfrm flipV="1">
            <a:off x="4029075" y="2657475"/>
            <a:ext cx="104775" cy="104775"/>
          </a:xfrm>
          <a:prstGeom prst="line">
            <a:avLst/>
          </a:prstGeom>
          <a:noFill/>
          <a:ln w="19050">
            <a:solidFill>
              <a:srgbClr val="A6CAF0"/>
            </a:solidFill>
            <a:round/>
            <a:headEnd/>
            <a:tailEnd/>
          </a:ln>
        </xdr:spPr>
      </xdr:sp>
      <xdr:sp macro="" textlink="">
        <xdr:nvSpPr>
          <xdr:cNvPr id="219" name="Line 99">
            <a:extLst>
              <a:ext uri="{FF2B5EF4-FFF2-40B4-BE49-F238E27FC236}">
                <a16:creationId xmlns:a16="http://schemas.microsoft.com/office/drawing/2014/main" id="{00000000-0008-0000-1000-0000DB000000}"/>
              </a:ext>
            </a:extLst>
          </xdr:cNvPr>
          <xdr:cNvSpPr>
            <a:spLocks noChangeShapeType="1"/>
          </xdr:cNvSpPr>
        </xdr:nvSpPr>
        <xdr:spPr bwMode="auto">
          <a:xfrm flipV="1">
            <a:off x="3990975" y="2619375"/>
            <a:ext cx="114300" cy="123825"/>
          </a:xfrm>
          <a:prstGeom prst="line">
            <a:avLst/>
          </a:prstGeom>
          <a:noFill/>
          <a:ln w="19050">
            <a:solidFill>
              <a:srgbClr val="A6CAF0"/>
            </a:solidFill>
            <a:round/>
            <a:headEnd/>
            <a:tailEnd/>
          </a:ln>
        </xdr:spPr>
      </xdr:sp>
      <xdr:sp macro="" textlink="">
        <xdr:nvSpPr>
          <xdr:cNvPr id="220" name="Freeform 100">
            <a:extLst>
              <a:ext uri="{FF2B5EF4-FFF2-40B4-BE49-F238E27FC236}">
                <a16:creationId xmlns:a16="http://schemas.microsoft.com/office/drawing/2014/main" id="{00000000-0008-0000-1000-0000DC000000}"/>
              </a:ext>
            </a:extLst>
          </xdr:cNvPr>
          <xdr:cNvSpPr>
            <a:spLocks/>
          </xdr:cNvSpPr>
        </xdr:nvSpPr>
        <xdr:spPr bwMode="auto">
          <a:xfrm>
            <a:off x="3562350" y="2733675"/>
            <a:ext cx="457200" cy="209550"/>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221" name="Freeform 101">
            <a:extLst>
              <a:ext uri="{FF2B5EF4-FFF2-40B4-BE49-F238E27FC236}">
                <a16:creationId xmlns:a16="http://schemas.microsoft.com/office/drawing/2014/main" id="{00000000-0008-0000-1000-0000DD000000}"/>
              </a:ext>
            </a:extLst>
          </xdr:cNvPr>
          <xdr:cNvSpPr>
            <a:spLocks/>
          </xdr:cNvSpPr>
        </xdr:nvSpPr>
        <xdr:spPr bwMode="auto">
          <a:xfrm>
            <a:off x="3990975" y="2152650"/>
            <a:ext cx="638175" cy="1685925"/>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222" name="Line 102">
            <a:extLst>
              <a:ext uri="{FF2B5EF4-FFF2-40B4-BE49-F238E27FC236}">
                <a16:creationId xmlns:a16="http://schemas.microsoft.com/office/drawing/2014/main" id="{00000000-0008-0000-1000-0000DE000000}"/>
              </a:ext>
            </a:extLst>
          </xdr:cNvPr>
          <xdr:cNvSpPr>
            <a:spLocks noChangeShapeType="1"/>
          </xdr:cNvSpPr>
        </xdr:nvSpPr>
        <xdr:spPr bwMode="auto">
          <a:xfrm>
            <a:off x="4476750" y="2609850"/>
            <a:ext cx="0" cy="0"/>
          </a:xfrm>
          <a:prstGeom prst="line">
            <a:avLst/>
          </a:prstGeom>
          <a:noFill/>
          <a:ln w="9525">
            <a:solidFill>
              <a:srgbClr val="000000"/>
            </a:solidFill>
            <a:round/>
            <a:headEnd/>
            <a:tailEnd/>
          </a:ln>
        </xdr:spPr>
      </xdr:sp>
      <xdr:sp macro="" textlink="">
        <xdr:nvSpPr>
          <xdr:cNvPr id="223" name="Freeform 103">
            <a:extLst>
              <a:ext uri="{FF2B5EF4-FFF2-40B4-BE49-F238E27FC236}">
                <a16:creationId xmlns:a16="http://schemas.microsoft.com/office/drawing/2014/main" id="{00000000-0008-0000-1000-0000DF000000}"/>
              </a:ext>
            </a:extLst>
          </xdr:cNvPr>
          <xdr:cNvSpPr>
            <a:spLocks/>
          </xdr:cNvSpPr>
        </xdr:nvSpPr>
        <xdr:spPr bwMode="auto">
          <a:xfrm>
            <a:off x="4229100" y="2190750"/>
            <a:ext cx="590550" cy="400050"/>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224" name="Freeform 104">
            <a:extLst>
              <a:ext uri="{FF2B5EF4-FFF2-40B4-BE49-F238E27FC236}">
                <a16:creationId xmlns:a16="http://schemas.microsoft.com/office/drawing/2014/main" id="{00000000-0008-0000-1000-0000E0000000}"/>
              </a:ext>
            </a:extLst>
          </xdr:cNvPr>
          <xdr:cNvSpPr>
            <a:spLocks/>
          </xdr:cNvSpPr>
        </xdr:nvSpPr>
        <xdr:spPr bwMode="auto">
          <a:xfrm>
            <a:off x="4057650" y="2743200"/>
            <a:ext cx="219075" cy="1676400"/>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225" name="Line 105">
            <a:extLst>
              <a:ext uri="{FF2B5EF4-FFF2-40B4-BE49-F238E27FC236}">
                <a16:creationId xmlns:a16="http://schemas.microsoft.com/office/drawing/2014/main" id="{00000000-0008-0000-1000-0000E1000000}"/>
              </a:ext>
            </a:extLst>
          </xdr:cNvPr>
          <xdr:cNvSpPr>
            <a:spLocks noChangeShapeType="1"/>
          </xdr:cNvSpPr>
        </xdr:nvSpPr>
        <xdr:spPr bwMode="auto">
          <a:xfrm flipV="1">
            <a:off x="4276725" y="2619375"/>
            <a:ext cx="123825" cy="123825"/>
          </a:xfrm>
          <a:prstGeom prst="line">
            <a:avLst/>
          </a:prstGeom>
          <a:noFill/>
          <a:ln w="28575">
            <a:solidFill>
              <a:srgbClr val="A6CAF0"/>
            </a:solidFill>
            <a:round/>
            <a:headEnd/>
            <a:tailEnd/>
          </a:ln>
        </xdr:spPr>
      </xdr:sp>
      <xdr:sp macro="" textlink="">
        <xdr:nvSpPr>
          <xdr:cNvPr id="226" name="Freeform 106">
            <a:extLst>
              <a:ext uri="{FF2B5EF4-FFF2-40B4-BE49-F238E27FC236}">
                <a16:creationId xmlns:a16="http://schemas.microsoft.com/office/drawing/2014/main" id="{00000000-0008-0000-1000-0000E2000000}"/>
              </a:ext>
            </a:extLst>
          </xdr:cNvPr>
          <xdr:cNvSpPr>
            <a:spLocks/>
          </xdr:cNvSpPr>
        </xdr:nvSpPr>
        <xdr:spPr bwMode="auto">
          <a:xfrm>
            <a:off x="4381500" y="2524125"/>
            <a:ext cx="257175" cy="1924050"/>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227" name="Freeform 107">
            <a:extLst>
              <a:ext uri="{FF2B5EF4-FFF2-40B4-BE49-F238E27FC236}">
                <a16:creationId xmlns:a16="http://schemas.microsoft.com/office/drawing/2014/main" id="{00000000-0008-0000-1000-0000E3000000}"/>
              </a:ext>
            </a:extLst>
          </xdr:cNvPr>
          <xdr:cNvSpPr>
            <a:spLocks/>
          </xdr:cNvSpPr>
        </xdr:nvSpPr>
        <xdr:spPr bwMode="auto">
          <a:xfrm>
            <a:off x="4267200" y="2619375"/>
            <a:ext cx="123825" cy="1485900"/>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228" name="Line 108">
            <a:extLst>
              <a:ext uri="{FF2B5EF4-FFF2-40B4-BE49-F238E27FC236}">
                <a16:creationId xmlns:a16="http://schemas.microsoft.com/office/drawing/2014/main" id="{00000000-0008-0000-1000-0000E4000000}"/>
              </a:ext>
            </a:extLst>
          </xdr:cNvPr>
          <xdr:cNvSpPr>
            <a:spLocks noChangeShapeType="1"/>
          </xdr:cNvSpPr>
        </xdr:nvSpPr>
        <xdr:spPr bwMode="auto">
          <a:xfrm>
            <a:off x="4514850" y="2600325"/>
            <a:ext cx="0" cy="1781175"/>
          </a:xfrm>
          <a:prstGeom prst="line">
            <a:avLst/>
          </a:prstGeom>
          <a:noFill/>
          <a:ln w="28575">
            <a:solidFill>
              <a:srgbClr val="A6CAF0"/>
            </a:solidFill>
            <a:round/>
            <a:headEnd/>
            <a:tailEnd/>
          </a:ln>
        </xdr:spPr>
      </xdr:sp>
      <xdr:sp macro="" textlink="">
        <xdr:nvSpPr>
          <xdr:cNvPr id="229" name="Line 109">
            <a:extLst>
              <a:ext uri="{FF2B5EF4-FFF2-40B4-BE49-F238E27FC236}">
                <a16:creationId xmlns:a16="http://schemas.microsoft.com/office/drawing/2014/main" id="{00000000-0008-0000-1000-0000E5000000}"/>
              </a:ext>
            </a:extLst>
          </xdr:cNvPr>
          <xdr:cNvSpPr>
            <a:spLocks noChangeShapeType="1"/>
          </xdr:cNvSpPr>
        </xdr:nvSpPr>
        <xdr:spPr bwMode="auto">
          <a:xfrm>
            <a:off x="4391025" y="2619375"/>
            <a:ext cx="9525" cy="1447800"/>
          </a:xfrm>
          <a:prstGeom prst="line">
            <a:avLst/>
          </a:prstGeom>
          <a:noFill/>
          <a:ln w="19050">
            <a:solidFill>
              <a:srgbClr val="A6CAF0"/>
            </a:solidFill>
            <a:round/>
            <a:headEnd/>
            <a:tailEnd/>
          </a:ln>
        </xdr:spPr>
      </xdr:sp>
      <xdr:sp macro="" textlink="">
        <xdr:nvSpPr>
          <xdr:cNvPr id="230" name="Line 110">
            <a:extLst>
              <a:ext uri="{FF2B5EF4-FFF2-40B4-BE49-F238E27FC236}">
                <a16:creationId xmlns:a16="http://schemas.microsoft.com/office/drawing/2014/main" id="{00000000-0008-0000-1000-0000E6000000}"/>
              </a:ext>
            </a:extLst>
          </xdr:cNvPr>
          <xdr:cNvSpPr>
            <a:spLocks noChangeShapeType="1"/>
          </xdr:cNvSpPr>
        </xdr:nvSpPr>
        <xdr:spPr bwMode="auto">
          <a:xfrm>
            <a:off x="4276725" y="2752725"/>
            <a:ext cx="9525" cy="1447800"/>
          </a:xfrm>
          <a:prstGeom prst="line">
            <a:avLst/>
          </a:prstGeom>
          <a:noFill/>
          <a:ln w="19050">
            <a:solidFill>
              <a:srgbClr val="00CCFF"/>
            </a:solidFill>
            <a:round/>
            <a:headEnd/>
            <a:tailEnd/>
          </a:ln>
        </xdr:spPr>
      </xdr:sp>
      <xdr:sp macro="" textlink="">
        <xdr:nvSpPr>
          <xdr:cNvPr id="231" name="Freeform 111">
            <a:extLst>
              <a:ext uri="{FF2B5EF4-FFF2-40B4-BE49-F238E27FC236}">
                <a16:creationId xmlns:a16="http://schemas.microsoft.com/office/drawing/2014/main" id="{00000000-0008-0000-1000-0000E7000000}"/>
              </a:ext>
            </a:extLst>
          </xdr:cNvPr>
          <xdr:cNvSpPr>
            <a:spLocks/>
          </xdr:cNvSpPr>
        </xdr:nvSpPr>
        <xdr:spPr bwMode="auto">
          <a:xfrm>
            <a:off x="4257675" y="2619375"/>
            <a:ext cx="19050" cy="14287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232" name="Line 112">
            <a:extLst>
              <a:ext uri="{FF2B5EF4-FFF2-40B4-BE49-F238E27FC236}">
                <a16:creationId xmlns:a16="http://schemas.microsoft.com/office/drawing/2014/main" id="{00000000-0008-0000-1000-0000E8000000}"/>
              </a:ext>
            </a:extLst>
          </xdr:cNvPr>
          <xdr:cNvSpPr>
            <a:spLocks noChangeShapeType="1"/>
          </xdr:cNvSpPr>
        </xdr:nvSpPr>
        <xdr:spPr bwMode="auto">
          <a:xfrm>
            <a:off x="4238625" y="2609850"/>
            <a:ext cx="0" cy="0"/>
          </a:xfrm>
          <a:prstGeom prst="line">
            <a:avLst/>
          </a:prstGeom>
          <a:noFill/>
          <a:ln w="9525">
            <a:solidFill>
              <a:srgbClr val="000000"/>
            </a:solidFill>
            <a:round/>
            <a:headEnd/>
            <a:tailEnd/>
          </a:ln>
        </xdr:spPr>
      </xdr:sp>
      <xdr:sp macro="" textlink="">
        <xdr:nvSpPr>
          <xdr:cNvPr id="233" name="Freeform 113">
            <a:extLst>
              <a:ext uri="{FF2B5EF4-FFF2-40B4-BE49-F238E27FC236}">
                <a16:creationId xmlns:a16="http://schemas.microsoft.com/office/drawing/2014/main" id="{00000000-0008-0000-1000-0000E9000000}"/>
              </a:ext>
            </a:extLst>
          </xdr:cNvPr>
          <xdr:cNvSpPr>
            <a:spLocks/>
          </xdr:cNvSpPr>
        </xdr:nvSpPr>
        <xdr:spPr bwMode="auto">
          <a:xfrm>
            <a:off x="4191000" y="2133600"/>
            <a:ext cx="695325" cy="638175"/>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sp macro="" textlink="">
        <xdr:nvSpPr>
          <xdr:cNvPr id="234" name="Freeform 115">
            <a:extLst>
              <a:ext uri="{FF2B5EF4-FFF2-40B4-BE49-F238E27FC236}">
                <a16:creationId xmlns:a16="http://schemas.microsoft.com/office/drawing/2014/main" id="{00000000-0008-0000-1000-0000EA000000}"/>
              </a:ext>
            </a:extLst>
          </xdr:cNvPr>
          <xdr:cNvSpPr>
            <a:spLocks/>
          </xdr:cNvSpPr>
        </xdr:nvSpPr>
        <xdr:spPr bwMode="auto">
          <a:xfrm>
            <a:off x="4276725" y="2095500"/>
            <a:ext cx="619125" cy="390525"/>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235" name="Freeform 116">
            <a:extLst>
              <a:ext uri="{FF2B5EF4-FFF2-40B4-BE49-F238E27FC236}">
                <a16:creationId xmlns:a16="http://schemas.microsoft.com/office/drawing/2014/main" id="{00000000-0008-0000-1000-0000EB000000}"/>
              </a:ext>
            </a:extLst>
          </xdr:cNvPr>
          <xdr:cNvSpPr>
            <a:spLocks/>
          </xdr:cNvSpPr>
        </xdr:nvSpPr>
        <xdr:spPr bwMode="auto">
          <a:xfrm>
            <a:off x="4276725" y="2095500"/>
            <a:ext cx="619125" cy="447675"/>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sp macro="" textlink="">
        <xdr:nvSpPr>
          <xdr:cNvPr id="236" name="Line 117">
            <a:extLst>
              <a:ext uri="{FF2B5EF4-FFF2-40B4-BE49-F238E27FC236}">
                <a16:creationId xmlns:a16="http://schemas.microsoft.com/office/drawing/2014/main" id="{00000000-0008-0000-1000-0000EC000000}"/>
              </a:ext>
            </a:extLst>
          </xdr:cNvPr>
          <xdr:cNvSpPr>
            <a:spLocks noChangeShapeType="1"/>
          </xdr:cNvSpPr>
        </xdr:nvSpPr>
        <xdr:spPr bwMode="auto">
          <a:xfrm>
            <a:off x="4505325" y="2486025"/>
            <a:ext cx="0" cy="28575"/>
          </a:xfrm>
          <a:prstGeom prst="line">
            <a:avLst/>
          </a:prstGeom>
          <a:noFill/>
          <a:ln w="9525">
            <a:solidFill>
              <a:srgbClr val="000000"/>
            </a:solidFill>
            <a:round/>
            <a:headEnd/>
            <a:tailEnd/>
          </a:ln>
        </xdr:spPr>
      </xdr:sp>
      <xdr:sp macro="" textlink="">
        <xdr:nvSpPr>
          <xdr:cNvPr id="237" name="Line 118">
            <a:extLst>
              <a:ext uri="{FF2B5EF4-FFF2-40B4-BE49-F238E27FC236}">
                <a16:creationId xmlns:a16="http://schemas.microsoft.com/office/drawing/2014/main" id="{00000000-0008-0000-1000-0000ED000000}"/>
              </a:ext>
            </a:extLst>
          </xdr:cNvPr>
          <xdr:cNvSpPr>
            <a:spLocks noChangeShapeType="1"/>
          </xdr:cNvSpPr>
        </xdr:nvSpPr>
        <xdr:spPr bwMode="auto">
          <a:xfrm flipV="1">
            <a:off x="4286250" y="2657475"/>
            <a:ext cx="104775" cy="104775"/>
          </a:xfrm>
          <a:prstGeom prst="line">
            <a:avLst/>
          </a:prstGeom>
          <a:noFill/>
          <a:ln w="19050">
            <a:solidFill>
              <a:srgbClr val="A6CAF0"/>
            </a:solidFill>
            <a:round/>
            <a:headEnd/>
            <a:tailEnd/>
          </a:ln>
        </xdr:spPr>
      </xdr:sp>
      <xdr:sp macro="" textlink="">
        <xdr:nvSpPr>
          <xdr:cNvPr id="238" name="Line 119">
            <a:extLst>
              <a:ext uri="{FF2B5EF4-FFF2-40B4-BE49-F238E27FC236}">
                <a16:creationId xmlns:a16="http://schemas.microsoft.com/office/drawing/2014/main" id="{00000000-0008-0000-1000-0000EE000000}"/>
              </a:ext>
            </a:extLst>
          </xdr:cNvPr>
          <xdr:cNvSpPr>
            <a:spLocks noChangeShapeType="1"/>
          </xdr:cNvSpPr>
        </xdr:nvSpPr>
        <xdr:spPr bwMode="auto">
          <a:xfrm flipV="1">
            <a:off x="4248150" y="2619375"/>
            <a:ext cx="114300" cy="123825"/>
          </a:xfrm>
          <a:prstGeom prst="line">
            <a:avLst/>
          </a:prstGeom>
          <a:noFill/>
          <a:ln w="19050">
            <a:solidFill>
              <a:srgbClr val="A6CAF0"/>
            </a:solidFill>
            <a:round/>
            <a:headEnd/>
            <a:tailEnd/>
          </a:ln>
        </xdr:spPr>
      </xdr:sp>
      <xdr:sp macro="" textlink="">
        <xdr:nvSpPr>
          <xdr:cNvPr id="239" name="Freeform 120">
            <a:extLst>
              <a:ext uri="{FF2B5EF4-FFF2-40B4-BE49-F238E27FC236}">
                <a16:creationId xmlns:a16="http://schemas.microsoft.com/office/drawing/2014/main" id="{00000000-0008-0000-1000-0000EF000000}"/>
              </a:ext>
            </a:extLst>
          </xdr:cNvPr>
          <xdr:cNvSpPr>
            <a:spLocks/>
          </xdr:cNvSpPr>
        </xdr:nvSpPr>
        <xdr:spPr bwMode="auto">
          <a:xfrm>
            <a:off x="4248150" y="2152650"/>
            <a:ext cx="638175" cy="1685925"/>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240" name="Line 121">
            <a:extLst>
              <a:ext uri="{FF2B5EF4-FFF2-40B4-BE49-F238E27FC236}">
                <a16:creationId xmlns:a16="http://schemas.microsoft.com/office/drawing/2014/main" id="{00000000-0008-0000-1000-0000F0000000}"/>
              </a:ext>
            </a:extLst>
          </xdr:cNvPr>
          <xdr:cNvSpPr>
            <a:spLocks noChangeShapeType="1"/>
          </xdr:cNvSpPr>
        </xdr:nvSpPr>
        <xdr:spPr bwMode="auto">
          <a:xfrm>
            <a:off x="4733925" y="2609850"/>
            <a:ext cx="0" cy="0"/>
          </a:xfrm>
          <a:prstGeom prst="line">
            <a:avLst/>
          </a:prstGeom>
          <a:noFill/>
          <a:ln w="9525">
            <a:solidFill>
              <a:srgbClr val="000000"/>
            </a:solidFill>
            <a:round/>
            <a:headEnd/>
            <a:tailEnd/>
          </a:ln>
        </xdr:spPr>
      </xdr:sp>
      <xdr:sp macro="" textlink="">
        <xdr:nvSpPr>
          <xdr:cNvPr id="241" name="Freeform 122">
            <a:extLst>
              <a:ext uri="{FF2B5EF4-FFF2-40B4-BE49-F238E27FC236}">
                <a16:creationId xmlns:a16="http://schemas.microsoft.com/office/drawing/2014/main" id="{00000000-0008-0000-1000-0000F1000000}"/>
              </a:ext>
            </a:extLst>
          </xdr:cNvPr>
          <xdr:cNvSpPr>
            <a:spLocks/>
          </xdr:cNvSpPr>
        </xdr:nvSpPr>
        <xdr:spPr bwMode="auto">
          <a:xfrm>
            <a:off x="4057650" y="2733675"/>
            <a:ext cx="276225" cy="180975"/>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nvGrpSpPr>
          <xdr:cNvPr id="242" name="Group 123">
            <a:extLst>
              <a:ext uri="{FF2B5EF4-FFF2-40B4-BE49-F238E27FC236}">
                <a16:creationId xmlns:a16="http://schemas.microsoft.com/office/drawing/2014/main" id="{00000000-0008-0000-1000-0000F2000000}"/>
              </a:ext>
            </a:extLst>
          </xdr:cNvPr>
          <xdr:cNvGrpSpPr>
            <a:grpSpLocks/>
          </xdr:cNvGrpSpPr>
        </xdr:nvGrpSpPr>
        <xdr:grpSpPr bwMode="auto">
          <a:xfrm>
            <a:off x="4076700" y="2095500"/>
            <a:ext cx="1333500" cy="2352675"/>
            <a:chOff x="837" y="652"/>
            <a:chExt cx="140" cy="247"/>
          </a:xfrm>
        </xdr:grpSpPr>
        <xdr:sp macro="" textlink="">
          <xdr:nvSpPr>
            <xdr:cNvPr id="375" name="Freeform 124">
              <a:extLst>
                <a:ext uri="{FF2B5EF4-FFF2-40B4-BE49-F238E27FC236}">
                  <a16:creationId xmlns:a16="http://schemas.microsoft.com/office/drawing/2014/main" id="{00000000-0008-0000-1000-000077010000}"/>
                </a:ext>
              </a:extLst>
            </xdr:cNvPr>
            <xdr:cNvSpPr>
              <a:spLocks/>
            </xdr:cNvSpPr>
          </xdr:nvSpPr>
          <xdr:spPr bwMode="auto">
            <a:xfrm>
              <a:off x="880"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76" name="Rectangle 125">
              <a:extLst>
                <a:ext uri="{FF2B5EF4-FFF2-40B4-BE49-F238E27FC236}">
                  <a16:creationId xmlns:a16="http://schemas.microsoft.com/office/drawing/2014/main" id="{00000000-0008-0000-1000-000078010000}"/>
                </a:ext>
              </a:extLst>
            </xdr:cNvPr>
            <xdr:cNvSpPr>
              <a:spLocks noChangeArrowheads="1"/>
            </xdr:cNvSpPr>
          </xdr:nvSpPr>
          <xdr:spPr bwMode="auto">
            <a:xfrm>
              <a:off x="837" y="741"/>
              <a:ext cx="27" cy="151"/>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377" name="Freeform 126">
              <a:extLst>
                <a:ext uri="{FF2B5EF4-FFF2-40B4-BE49-F238E27FC236}">
                  <a16:creationId xmlns:a16="http://schemas.microsoft.com/office/drawing/2014/main" id="{00000000-0008-0000-1000-000079010000}"/>
                </a:ext>
              </a:extLst>
            </xdr:cNvPr>
            <xdr:cNvSpPr>
              <a:spLocks/>
            </xdr:cNvSpPr>
          </xdr:nvSpPr>
          <xdr:spPr bwMode="auto">
            <a:xfrm>
              <a:off x="864" y="720"/>
              <a:ext cx="21" cy="177"/>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378" name="Line 127">
              <a:extLst>
                <a:ext uri="{FF2B5EF4-FFF2-40B4-BE49-F238E27FC236}">
                  <a16:creationId xmlns:a16="http://schemas.microsoft.com/office/drawing/2014/main" id="{00000000-0008-0000-1000-00007A010000}"/>
                </a:ext>
              </a:extLst>
            </xdr:cNvPr>
            <xdr:cNvSpPr>
              <a:spLocks noChangeShapeType="1"/>
            </xdr:cNvSpPr>
          </xdr:nvSpPr>
          <xdr:spPr bwMode="auto">
            <a:xfrm flipV="1">
              <a:off x="885" y="707"/>
              <a:ext cx="13" cy="13"/>
            </a:xfrm>
            <a:prstGeom prst="line">
              <a:avLst/>
            </a:prstGeom>
            <a:noFill/>
            <a:ln w="28575">
              <a:solidFill>
                <a:srgbClr val="A6CAF0"/>
              </a:solidFill>
              <a:round/>
              <a:headEnd/>
              <a:tailEnd/>
            </a:ln>
          </xdr:spPr>
        </xdr:sp>
        <xdr:sp macro="" textlink="">
          <xdr:nvSpPr>
            <xdr:cNvPr id="379" name="Freeform 128">
              <a:extLst>
                <a:ext uri="{FF2B5EF4-FFF2-40B4-BE49-F238E27FC236}">
                  <a16:creationId xmlns:a16="http://schemas.microsoft.com/office/drawing/2014/main" id="{00000000-0008-0000-1000-00007B010000}"/>
                </a:ext>
              </a:extLst>
            </xdr:cNvPr>
            <xdr:cNvSpPr>
              <a:spLocks/>
            </xdr:cNvSpPr>
          </xdr:nvSpPr>
          <xdr:spPr bwMode="auto">
            <a:xfrm>
              <a:off x="896"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380" name="Freeform 129">
              <a:extLst>
                <a:ext uri="{FF2B5EF4-FFF2-40B4-BE49-F238E27FC236}">
                  <a16:creationId xmlns:a16="http://schemas.microsoft.com/office/drawing/2014/main" id="{00000000-0008-0000-1000-00007C010000}"/>
                </a:ext>
              </a:extLst>
            </xdr:cNvPr>
            <xdr:cNvSpPr>
              <a:spLocks/>
            </xdr:cNvSpPr>
          </xdr:nvSpPr>
          <xdr:spPr bwMode="auto">
            <a:xfrm>
              <a:off x="884"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81" name="Line 130">
              <a:extLst>
                <a:ext uri="{FF2B5EF4-FFF2-40B4-BE49-F238E27FC236}">
                  <a16:creationId xmlns:a16="http://schemas.microsoft.com/office/drawing/2014/main" id="{00000000-0008-0000-1000-00007D010000}"/>
                </a:ext>
              </a:extLst>
            </xdr:cNvPr>
            <xdr:cNvSpPr>
              <a:spLocks noChangeShapeType="1"/>
            </xdr:cNvSpPr>
          </xdr:nvSpPr>
          <xdr:spPr bwMode="auto">
            <a:xfrm>
              <a:off x="910" y="705"/>
              <a:ext cx="0" cy="187"/>
            </a:xfrm>
            <a:prstGeom prst="line">
              <a:avLst/>
            </a:prstGeom>
            <a:noFill/>
            <a:ln w="28575">
              <a:solidFill>
                <a:srgbClr val="A6CAF0"/>
              </a:solidFill>
              <a:round/>
              <a:headEnd/>
              <a:tailEnd/>
            </a:ln>
          </xdr:spPr>
        </xdr:sp>
        <xdr:sp macro="" textlink="">
          <xdr:nvSpPr>
            <xdr:cNvPr id="382" name="Line 131">
              <a:extLst>
                <a:ext uri="{FF2B5EF4-FFF2-40B4-BE49-F238E27FC236}">
                  <a16:creationId xmlns:a16="http://schemas.microsoft.com/office/drawing/2014/main" id="{00000000-0008-0000-1000-00007E010000}"/>
                </a:ext>
              </a:extLst>
            </xdr:cNvPr>
            <xdr:cNvSpPr>
              <a:spLocks noChangeShapeType="1"/>
            </xdr:cNvSpPr>
          </xdr:nvSpPr>
          <xdr:spPr bwMode="auto">
            <a:xfrm>
              <a:off x="897" y="707"/>
              <a:ext cx="1" cy="152"/>
            </a:xfrm>
            <a:prstGeom prst="line">
              <a:avLst/>
            </a:prstGeom>
            <a:noFill/>
            <a:ln w="19050">
              <a:solidFill>
                <a:srgbClr val="A6CAF0"/>
              </a:solidFill>
              <a:round/>
              <a:headEnd/>
              <a:tailEnd/>
            </a:ln>
          </xdr:spPr>
        </xdr:sp>
        <xdr:sp macro="" textlink="">
          <xdr:nvSpPr>
            <xdr:cNvPr id="383" name="Line 132">
              <a:extLst>
                <a:ext uri="{FF2B5EF4-FFF2-40B4-BE49-F238E27FC236}">
                  <a16:creationId xmlns:a16="http://schemas.microsoft.com/office/drawing/2014/main" id="{00000000-0008-0000-1000-00007F010000}"/>
                </a:ext>
              </a:extLst>
            </xdr:cNvPr>
            <xdr:cNvSpPr>
              <a:spLocks noChangeShapeType="1"/>
            </xdr:cNvSpPr>
          </xdr:nvSpPr>
          <xdr:spPr bwMode="auto">
            <a:xfrm>
              <a:off x="885" y="721"/>
              <a:ext cx="1" cy="152"/>
            </a:xfrm>
            <a:prstGeom prst="line">
              <a:avLst/>
            </a:prstGeom>
            <a:noFill/>
            <a:ln w="19050">
              <a:solidFill>
                <a:srgbClr val="00CCFF"/>
              </a:solidFill>
              <a:round/>
              <a:headEnd/>
              <a:tailEnd/>
            </a:ln>
          </xdr:spPr>
        </xdr:sp>
        <xdr:sp macro="" textlink="">
          <xdr:nvSpPr>
            <xdr:cNvPr id="384" name="Freeform 133">
              <a:extLst>
                <a:ext uri="{FF2B5EF4-FFF2-40B4-BE49-F238E27FC236}">
                  <a16:creationId xmlns:a16="http://schemas.microsoft.com/office/drawing/2014/main" id="{00000000-0008-0000-1000-000080010000}"/>
                </a:ext>
              </a:extLst>
            </xdr:cNvPr>
            <xdr:cNvSpPr>
              <a:spLocks/>
            </xdr:cNvSpPr>
          </xdr:nvSpPr>
          <xdr:spPr bwMode="auto">
            <a:xfrm>
              <a:off x="883"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385" name="Line 134">
              <a:extLst>
                <a:ext uri="{FF2B5EF4-FFF2-40B4-BE49-F238E27FC236}">
                  <a16:creationId xmlns:a16="http://schemas.microsoft.com/office/drawing/2014/main" id="{00000000-0008-0000-1000-000081010000}"/>
                </a:ext>
              </a:extLst>
            </xdr:cNvPr>
            <xdr:cNvSpPr>
              <a:spLocks noChangeShapeType="1"/>
            </xdr:cNvSpPr>
          </xdr:nvSpPr>
          <xdr:spPr bwMode="auto">
            <a:xfrm>
              <a:off x="881" y="706"/>
              <a:ext cx="0" cy="0"/>
            </a:xfrm>
            <a:prstGeom prst="line">
              <a:avLst/>
            </a:prstGeom>
            <a:noFill/>
            <a:ln w="9525">
              <a:solidFill>
                <a:srgbClr val="000000"/>
              </a:solidFill>
              <a:round/>
              <a:headEnd/>
              <a:tailEnd/>
            </a:ln>
          </xdr:spPr>
        </xdr:sp>
        <xdr:sp macro="" textlink="">
          <xdr:nvSpPr>
            <xdr:cNvPr id="386" name="Freeform 135">
              <a:extLst>
                <a:ext uri="{FF2B5EF4-FFF2-40B4-BE49-F238E27FC236}">
                  <a16:creationId xmlns:a16="http://schemas.microsoft.com/office/drawing/2014/main" id="{00000000-0008-0000-1000-000082010000}"/>
                </a:ext>
              </a:extLst>
            </xdr:cNvPr>
            <xdr:cNvSpPr>
              <a:spLocks/>
            </xdr:cNvSpPr>
          </xdr:nvSpPr>
          <xdr:spPr bwMode="auto">
            <a:xfrm>
              <a:off x="876"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387" name="Group 136">
              <a:extLst>
                <a:ext uri="{FF2B5EF4-FFF2-40B4-BE49-F238E27FC236}">
                  <a16:creationId xmlns:a16="http://schemas.microsoft.com/office/drawing/2014/main" id="{00000000-0008-0000-1000-000083010000}"/>
                </a:ext>
              </a:extLst>
            </xdr:cNvPr>
            <xdr:cNvGrpSpPr>
              <a:grpSpLocks/>
            </xdr:cNvGrpSpPr>
          </xdr:nvGrpSpPr>
          <xdr:grpSpPr bwMode="auto">
            <a:xfrm>
              <a:off x="885" y="652"/>
              <a:ext cx="65" cy="47"/>
              <a:chOff x="112" y="627"/>
              <a:chExt cx="65" cy="47"/>
            </a:xfrm>
          </xdr:grpSpPr>
          <xdr:sp macro="" textlink="">
            <xdr:nvSpPr>
              <xdr:cNvPr id="414" name="Freeform 137">
                <a:extLst>
                  <a:ext uri="{FF2B5EF4-FFF2-40B4-BE49-F238E27FC236}">
                    <a16:creationId xmlns:a16="http://schemas.microsoft.com/office/drawing/2014/main" id="{00000000-0008-0000-1000-00009E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15" name="Freeform 138">
                <a:extLst>
                  <a:ext uri="{FF2B5EF4-FFF2-40B4-BE49-F238E27FC236}">
                    <a16:creationId xmlns:a16="http://schemas.microsoft.com/office/drawing/2014/main" id="{00000000-0008-0000-1000-00009F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388" name="Line 139">
              <a:extLst>
                <a:ext uri="{FF2B5EF4-FFF2-40B4-BE49-F238E27FC236}">
                  <a16:creationId xmlns:a16="http://schemas.microsoft.com/office/drawing/2014/main" id="{00000000-0008-0000-1000-000084010000}"/>
                </a:ext>
              </a:extLst>
            </xdr:cNvPr>
            <xdr:cNvSpPr>
              <a:spLocks noChangeShapeType="1"/>
            </xdr:cNvSpPr>
          </xdr:nvSpPr>
          <xdr:spPr bwMode="auto">
            <a:xfrm>
              <a:off x="909" y="693"/>
              <a:ext cx="0" cy="3"/>
            </a:xfrm>
            <a:prstGeom prst="line">
              <a:avLst/>
            </a:prstGeom>
            <a:noFill/>
            <a:ln w="9525">
              <a:solidFill>
                <a:srgbClr val="000000"/>
              </a:solidFill>
              <a:round/>
              <a:headEnd/>
              <a:tailEnd/>
            </a:ln>
          </xdr:spPr>
        </xdr:sp>
        <xdr:sp macro="" textlink="">
          <xdr:nvSpPr>
            <xdr:cNvPr id="389" name="Line 140">
              <a:extLst>
                <a:ext uri="{FF2B5EF4-FFF2-40B4-BE49-F238E27FC236}">
                  <a16:creationId xmlns:a16="http://schemas.microsoft.com/office/drawing/2014/main" id="{00000000-0008-0000-1000-000085010000}"/>
                </a:ext>
              </a:extLst>
            </xdr:cNvPr>
            <xdr:cNvSpPr>
              <a:spLocks noChangeShapeType="1"/>
            </xdr:cNvSpPr>
          </xdr:nvSpPr>
          <xdr:spPr bwMode="auto">
            <a:xfrm flipV="1">
              <a:off x="886" y="711"/>
              <a:ext cx="11" cy="11"/>
            </a:xfrm>
            <a:prstGeom prst="line">
              <a:avLst/>
            </a:prstGeom>
            <a:noFill/>
            <a:ln w="19050">
              <a:solidFill>
                <a:srgbClr val="A6CAF0"/>
              </a:solidFill>
              <a:round/>
              <a:headEnd/>
              <a:tailEnd/>
            </a:ln>
          </xdr:spPr>
        </xdr:sp>
        <xdr:sp macro="" textlink="">
          <xdr:nvSpPr>
            <xdr:cNvPr id="390" name="Line 141">
              <a:extLst>
                <a:ext uri="{FF2B5EF4-FFF2-40B4-BE49-F238E27FC236}">
                  <a16:creationId xmlns:a16="http://schemas.microsoft.com/office/drawing/2014/main" id="{00000000-0008-0000-1000-000086010000}"/>
                </a:ext>
              </a:extLst>
            </xdr:cNvPr>
            <xdr:cNvSpPr>
              <a:spLocks noChangeShapeType="1"/>
            </xdr:cNvSpPr>
          </xdr:nvSpPr>
          <xdr:spPr bwMode="auto">
            <a:xfrm flipV="1">
              <a:off x="882" y="707"/>
              <a:ext cx="12" cy="13"/>
            </a:xfrm>
            <a:prstGeom prst="line">
              <a:avLst/>
            </a:prstGeom>
            <a:noFill/>
            <a:ln w="19050">
              <a:solidFill>
                <a:srgbClr val="A6CAF0"/>
              </a:solidFill>
              <a:round/>
              <a:headEnd/>
              <a:tailEnd/>
            </a:ln>
          </xdr:spPr>
        </xdr:sp>
        <xdr:sp macro="" textlink="">
          <xdr:nvSpPr>
            <xdr:cNvPr id="391" name="Freeform 142">
              <a:extLst>
                <a:ext uri="{FF2B5EF4-FFF2-40B4-BE49-F238E27FC236}">
                  <a16:creationId xmlns:a16="http://schemas.microsoft.com/office/drawing/2014/main" id="{00000000-0008-0000-1000-000087010000}"/>
                </a:ext>
              </a:extLst>
            </xdr:cNvPr>
            <xdr:cNvSpPr>
              <a:spLocks/>
            </xdr:cNvSpPr>
          </xdr:nvSpPr>
          <xdr:spPr bwMode="auto">
            <a:xfrm>
              <a:off x="837" y="719"/>
              <a:ext cx="48" cy="22"/>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392" name="Freeform 143">
              <a:extLst>
                <a:ext uri="{FF2B5EF4-FFF2-40B4-BE49-F238E27FC236}">
                  <a16:creationId xmlns:a16="http://schemas.microsoft.com/office/drawing/2014/main" id="{00000000-0008-0000-1000-000088010000}"/>
                </a:ext>
              </a:extLst>
            </xdr:cNvPr>
            <xdr:cNvSpPr>
              <a:spLocks/>
            </xdr:cNvSpPr>
          </xdr:nvSpPr>
          <xdr:spPr bwMode="auto">
            <a:xfrm>
              <a:off x="882"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393" name="Line 144">
              <a:extLst>
                <a:ext uri="{FF2B5EF4-FFF2-40B4-BE49-F238E27FC236}">
                  <a16:creationId xmlns:a16="http://schemas.microsoft.com/office/drawing/2014/main" id="{00000000-0008-0000-1000-000089010000}"/>
                </a:ext>
              </a:extLst>
            </xdr:cNvPr>
            <xdr:cNvSpPr>
              <a:spLocks noChangeShapeType="1"/>
            </xdr:cNvSpPr>
          </xdr:nvSpPr>
          <xdr:spPr bwMode="auto">
            <a:xfrm>
              <a:off x="933" y="706"/>
              <a:ext cx="0" cy="0"/>
            </a:xfrm>
            <a:prstGeom prst="line">
              <a:avLst/>
            </a:prstGeom>
            <a:noFill/>
            <a:ln w="9525">
              <a:solidFill>
                <a:srgbClr val="000000"/>
              </a:solidFill>
              <a:round/>
              <a:headEnd/>
              <a:tailEnd/>
            </a:ln>
          </xdr:spPr>
        </xdr:sp>
        <xdr:sp macro="" textlink="">
          <xdr:nvSpPr>
            <xdr:cNvPr id="394" name="Freeform 145">
              <a:extLst>
                <a:ext uri="{FF2B5EF4-FFF2-40B4-BE49-F238E27FC236}">
                  <a16:creationId xmlns:a16="http://schemas.microsoft.com/office/drawing/2014/main" id="{00000000-0008-0000-1000-00008A010000}"/>
                </a:ext>
              </a:extLst>
            </xdr:cNvPr>
            <xdr:cNvSpPr>
              <a:spLocks/>
            </xdr:cNvSpPr>
          </xdr:nvSpPr>
          <xdr:spPr bwMode="auto">
            <a:xfrm>
              <a:off x="907"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95" name="Freeform 146">
              <a:extLst>
                <a:ext uri="{FF2B5EF4-FFF2-40B4-BE49-F238E27FC236}">
                  <a16:creationId xmlns:a16="http://schemas.microsoft.com/office/drawing/2014/main" id="{00000000-0008-0000-1000-00008B010000}"/>
                </a:ext>
              </a:extLst>
            </xdr:cNvPr>
            <xdr:cNvSpPr>
              <a:spLocks/>
            </xdr:cNvSpPr>
          </xdr:nvSpPr>
          <xdr:spPr bwMode="auto">
            <a:xfrm>
              <a:off x="889" y="720"/>
              <a:ext cx="23" cy="176"/>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396" name="Line 147">
              <a:extLst>
                <a:ext uri="{FF2B5EF4-FFF2-40B4-BE49-F238E27FC236}">
                  <a16:creationId xmlns:a16="http://schemas.microsoft.com/office/drawing/2014/main" id="{00000000-0008-0000-1000-00008C010000}"/>
                </a:ext>
              </a:extLst>
            </xdr:cNvPr>
            <xdr:cNvSpPr>
              <a:spLocks noChangeShapeType="1"/>
            </xdr:cNvSpPr>
          </xdr:nvSpPr>
          <xdr:spPr bwMode="auto">
            <a:xfrm flipV="1">
              <a:off x="912" y="707"/>
              <a:ext cx="13" cy="13"/>
            </a:xfrm>
            <a:prstGeom prst="line">
              <a:avLst/>
            </a:prstGeom>
            <a:noFill/>
            <a:ln w="28575">
              <a:solidFill>
                <a:srgbClr val="A6CAF0"/>
              </a:solidFill>
              <a:round/>
              <a:headEnd/>
              <a:tailEnd/>
            </a:ln>
          </xdr:spPr>
        </xdr:sp>
        <xdr:sp macro="" textlink="">
          <xdr:nvSpPr>
            <xdr:cNvPr id="397" name="Freeform 148">
              <a:extLst>
                <a:ext uri="{FF2B5EF4-FFF2-40B4-BE49-F238E27FC236}">
                  <a16:creationId xmlns:a16="http://schemas.microsoft.com/office/drawing/2014/main" id="{00000000-0008-0000-1000-00008D010000}"/>
                </a:ext>
              </a:extLst>
            </xdr:cNvPr>
            <xdr:cNvSpPr>
              <a:spLocks/>
            </xdr:cNvSpPr>
          </xdr:nvSpPr>
          <xdr:spPr bwMode="auto">
            <a:xfrm>
              <a:off x="923"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398" name="Freeform 149">
              <a:extLst>
                <a:ext uri="{FF2B5EF4-FFF2-40B4-BE49-F238E27FC236}">
                  <a16:creationId xmlns:a16="http://schemas.microsoft.com/office/drawing/2014/main" id="{00000000-0008-0000-1000-00008E010000}"/>
                </a:ext>
              </a:extLst>
            </xdr:cNvPr>
            <xdr:cNvSpPr>
              <a:spLocks/>
            </xdr:cNvSpPr>
          </xdr:nvSpPr>
          <xdr:spPr bwMode="auto">
            <a:xfrm>
              <a:off x="911"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99" name="Line 150">
              <a:extLst>
                <a:ext uri="{FF2B5EF4-FFF2-40B4-BE49-F238E27FC236}">
                  <a16:creationId xmlns:a16="http://schemas.microsoft.com/office/drawing/2014/main" id="{00000000-0008-0000-1000-00008F010000}"/>
                </a:ext>
              </a:extLst>
            </xdr:cNvPr>
            <xdr:cNvSpPr>
              <a:spLocks noChangeShapeType="1"/>
            </xdr:cNvSpPr>
          </xdr:nvSpPr>
          <xdr:spPr bwMode="auto">
            <a:xfrm>
              <a:off x="937" y="705"/>
              <a:ext cx="0" cy="187"/>
            </a:xfrm>
            <a:prstGeom prst="line">
              <a:avLst/>
            </a:prstGeom>
            <a:noFill/>
            <a:ln w="28575">
              <a:solidFill>
                <a:srgbClr val="A6CAF0"/>
              </a:solidFill>
              <a:round/>
              <a:headEnd/>
              <a:tailEnd/>
            </a:ln>
          </xdr:spPr>
        </xdr:sp>
        <xdr:sp macro="" textlink="">
          <xdr:nvSpPr>
            <xdr:cNvPr id="400" name="Line 151">
              <a:extLst>
                <a:ext uri="{FF2B5EF4-FFF2-40B4-BE49-F238E27FC236}">
                  <a16:creationId xmlns:a16="http://schemas.microsoft.com/office/drawing/2014/main" id="{00000000-0008-0000-1000-000090010000}"/>
                </a:ext>
              </a:extLst>
            </xdr:cNvPr>
            <xdr:cNvSpPr>
              <a:spLocks noChangeShapeType="1"/>
            </xdr:cNvSpPr>
          </xdr:nvSpPr>
          <xdr:spPr bwMode="auto">
            <a:xfrm>
              <a:off x="924" y="707"/>
              <a:ext cx="1" cy="152"/>
            </a:xfrm>
            <a:prstGeom prst="line">
              <a:avLst/>
            </a:prstGeom>
            <a:noFill/>
            <a:ln w="19050">
              <a:solidFill>
                <a:srgbClr val="A6CAF0"/>
              </a:solidFill>
              <a:round/>
              <a:headEnd/>
              <a:tailEnd/>
            </a:ln>
          </xdr:spPr>
        </xdr:sp>
        <xdr:sp macro="" textlink="">
          <xdr:nvSpPr>
            <xdr:cNvPr id="401" name="Line 152">
              <a:extLst>
                <a:ext uri="{FF2B5EF4-FFF2-40B4-BE49-F238E27FC236}">
                  <a16:creationId xmlns:a16="http://schemas.microsoft.com/office/drawing/2014/main" id="{00000000-0008-0000-1000-000091010000}"/>
                </a:ext>
              </a:extLst>
            </xdr:cNvPr>
            <xdr:cNvSpPr>
              <a:spLocks noChangeShapeType="1"/>
            </xdr:cNvSpPr>
          </xdr:nvSpPr>
          <xdr:spPr bwMode="auto">
            <a:xfrm>
              <a:off x="912" y="721"/>
              <a:ext cx="1" cy="152"/>
            </a:xfrm>
            <a:prstGeom prst="line">
              <a:avLst/>
            </a:prstGeom>
            <a:noFill/>
            <a:ln w="19050">
              <a:solidFill>
                <a:srgbClr val="00CCFF"/>
              </a:solidFill>
              <a:round/>
              <a:headEnd/>
              <a:tailEnd/>
            </a:ln>
          </xdr:spPr>
        </xdr:sp>
        <xdr:sp macro="" textlink="">
          <xdr:nvSpPr>
            <xdr:cNvPr id="402" name="Freeform 153">
              <a:extLst>
                <a:ext uri="{FF2B5EF4-FFF2-40B4-BE49-F238E27FC236}">
                  <a16:creationId xmlns:a16="http://schemas.microsoft.com/office/drawing/2014/main" id="{00000000-0008-0000-1000-000092010000}"/>
                </a:ext>
              </a:extLst>
            </xdr:cNvPr>
            <xdr:cNvSpPr>
              <a:spLocks/>
            </xdr:cNvSpPr>
          </xdr:nvSpPr>
          <xdr:spPr bwMode="auto">
            <a:xfrm>
              <a:off x="910"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403" name="Line 154">
              <a:extLst>
                <a:ext uri="{FF2B5EF4-FFF2-40B4-BE49-F238E27FC236}">
                  <a16:creationId xmlns:a16="http://schemas.microsoft.com/office/drawing/2014/main" id="{00000000-0008-0000-1000-000093010000}"/>
                </a:ext>
              </a:extLst>
            </xdr:cNvPr>
            <xdr:cNvSpPr>
              <a:spLocks noChangeShapeType="1"/>
            </xdr:cNvSpPr>
          </xdr:nvSpPr>
          <xdr:spPr bwMode="auto">
            <a:xfrm>
              <a:off x="908" y="706"/>
              <a:ext cx="0" cy="0"/>
            </a:xfrm>
            <a:prstGeom prst="line">
              <a:avLst/>
            </a:prstGeom>
            <a:noFill/>
            <a:ln w="9525">
              <a:solidFill>
                <a:srgbClr val="000000"/>
              </a:solidFill>
              <a:round/>
              <a:headEnd/>
              <a:tailEnd/>
            </a:ln>
          </xdr:spPr>
        </xdr:sp>
        <xdr:sp macro="" textlink="">
          <xdr:nvSpPr>
            <xdr:cNvPr id="404" name="Freeform 155">
              <a:extLst>
                <a:ext uri="{FF2B5EF4-FFF2-40B4-BE49-F238E27FC236}">
                  <a16:creationId xmlns:a16="http://schemas.microsoft.com/office/drawing/2014/main" id="{00000000-0008-0000-1000-000094010000}"/>
                </a:ext>
              </a:extLst>
            </xdr:cNvPr>
            <xdr:cNvSpPr>
              <a:spLocks/>
            </xdr:cNvSpPr>
          </xdr:nvSpPr>
          <xdr:spPr bwMode="auto">
            <a:xfrm>
              <a:off x="903"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405" name="Group 156">
              <a:extLst>
                <a:ext uri="{FF2B5EF4-FFF2-40B4-BE49-F238E27FC236}">
                  <a16:creationId xmlns:a16="http://schemas.microsoft.com/office/drawing/2014/main" id="{00000000-0008-0000-1000-000095010000}"/>
                </a:ext>
              </a:extLst>
            </xdr:cNvPr>
            <xdr:cNvGrpSpPr>
              <a:grpSpLocks/>
            </xdr:cNvGrpSpPr>
          </xdr:nvGrpSpPr>
          <xdr:grpSpPr bwMode="auto">
            <a:xfrm>
              <a:off x="912" y="652"/>
              <a:ext cx="65" cy="47"/>
              <a:chOff x="112" y="627"/>
              <a:chExt cx="65" cy="47"/>
            </a:xfrm>
          </xdr:grpSpPr>
          <xdr:sp macro="" textlink="">
            <xdr:nvSpPr>
              <xdr:cNvPr id="412" name="Freeform 157">
                <a:extLst>
                  <a:ext uri="{FF2B5EF4-FFF2-40B4-BE49-F238E27FC236}">
                    <a16:creationId xmlns:a16="http://schemas.microsoft.com/office/drawing/2014/main" id="{00000000-0008-0000-1000-00009C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13" name="Freeform 158">
                <a:extLst>
                  <a:ext uri="{FF2B5EF4-FFF2-40B4-BE49-F238E27FC236}">
                    <a16:creationId xmlns:a16="http://schemas.microsoft.com/office/drawing/2014/main" id="{00000000-0008-0000-1000-00009D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406" name="Line 159">
              <a:extLst>
                <a:ext uri="{FF2B5EF4-FFF2-40B4-BE49-F238E27FC236}">
                  <a16:creationId xmlns:a16="http://schemas.microsoft.com/office/drawing/2014/main" id="{00000000-0008-0000-1000-000096010000}"/>
                </a:ext>
              </a:extLst>
            </xdr:cNvPr>
            <xdr:cNvSpPr>
              <a:spLocks noChangeShapeType="1"/>
            </xdr:cNvSpPr>
          </xdr:nvSpPr>
          <xdr:spPr bwMode="auto">
            <a:xfrm>
              <a:off x="936" y="693"/>
              <a:ext cx="0" cy="3"/>
            </a:xfrm>
            <a:prstGeom prst="line">
              <a:avLst/>
            </a:prstGeom>
            <a:noFill/>
            <a:ln w="9525">
              <a:solidFill>
                <a:srgbClr val="000000"/>
              </a:solidFill>
              <a:round/>
              <a:headEnd/>
              <a:tailEnd/>
            </a:ln>
          </xdr:spPr>
        </xdr:sp>
        <xdr:sp macro="" textlink="">
          <xdr:nvSpPr>
            <xdr:cNvPr id="407" name="Line 160">
              <a:extLst>
                <a:ext uri="{FF2B5EF4-FFF2-40B4-BE49-F238E27FC236}">
                  <a16:creationId xmlns:a16="http://schemas.microsoft.com/office/drawing/2014/main" id="{00000000-0008-0000-1000-000097010000}"/>
                </a:ext>
              </a:extLst>
            </xdr:cNvPr>
            <xdr:cNvSpPr>
              <a:spLocks noChangeShapeType="1"/>
            </xdr:cNvSpPr>
          </xdr:nvSpPr>
          <xdr:spPr bwMode="auto">
            <a:xfrm flipV="1">
              <a:off x="913" y="711"/>
              <a:ext cx="11" cy="11"/>
            </a:xfrm>
            <a:prstGeom prst="line">
              <a:avLst/>
            </a:prstGeom>
            <a:noFill/>
            <a:ln w="19050">
              <a:solidFill>
                <a:srgbClr val="A6CAF0"/>
              </a:solidFill>
              <a:round/>
              <a:headEnd/>
              <a:tailEnd/>
            </a:ln>
          </xdr:spPr>
        </xdr:sp>
        <xdr:sp macro="" textlink="">
          <xdr:nvSpPr>
            <xdr:cNvPr id="408" name="Line 161">
              <a:extLst>
                <a:ext uri="{FF2B5EF4-FFF2-40B4-BE49-F238E27FC236}">
                  <a16:creationId xmlns:a16="http://schemas.microsoft.com/office/drawing/2014/main" id="{00000000-0008-0000-1000-000098010000}"/>
                </a:ext>
              </a:extLst>
            </xdr:cNvPr>
            <xdr:cNvSpPr>
              <a:spLocks noChangeShapeType="1"/>
            </xdr:cNvSpPr>
          </xdr:nvSpPr>
          <xdr:spPr bwMode="auto">
            <a:xfrm flipV="1">
              <a:off x="909" y="707"/>
              <a:ext cx="12" cy="13"/>
            </a:xfrm>
            <a:prstGeom prst="line">
              <a:avLst/>
            </a:prstGeom>
            <a:noFill/>
            <a:ln w="19050">
              <a:solidFill>
                <a:srgbClr val="A6CAF0"/>
              </a:solidFill>
              <a:round/>
              <a:headEnd/>
              <a:tailEnd/>
            </a:ln>
          </xdr:spPr>
        </xdr:sp>
        <xdr:sp macro="" textlink="">
          <xdr:nvSpPr>
            <xdr:cNvPr id="409" name="Freeform 162">
              <a:extLst>
                <a:ext uri="{FF2B5EF4-FFF2-40B4-BE49-F238E27FC236}">
                  <a16:creationId xmlns:a16="http://schemas.microsoft.com/office/drawing/2014/main" id="{00000000-0008-0000-1000-000099010000}"/>
                </a:ext>
              </a:extLst>
            </xdr:cNvPr>
            <xdr:cNvSpPr>
              <a:spLocks/>
            </xdr:cNvSpPr>
          </xdr:nvSpPr>
          <xdr:spPr bwMode="auto">
            <a:xfrm>
              <a:off x="909"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410" name="Line 163">
              <a:extLst>
                <a:ext uri="{FF2B5EF4-FFF2-40B4-BE49-F238E27FC236}">
                  <a16:creationId xmlns:a16="http://schemas.microsoft.com/office/drawing/2014/main" id="{00000000-0008-0000-1000-00009A010000}"/>
                </a:ext>
              </a:extLst>
            </xdr:cNvPr>
            <xdr:cNvSpPr>
              <a:spLocks noChangeShapeType="1"/>
            </xdr:cNvSpPr>
          </xdr:nvSpPr>
          <xdr:spPr bwMode="auto">
            <a:xfrm>
              <a:off x="960" y="706"/>
              <a:ext cx="0" cy="0"/>
            </a:xfrm>
            <a:prstGeom prst="line">
              <a:avLst/>
            </a:prstGeom>
            <a:noFill/>
            <a:ln w="9525">
              <a:solidFill>
                <a:srgbClr val="000000"/>
              </a:solidFill>
              <a:round/>
              <a:headEnd/>
              <a:tailEnd/>
            </a:ln>
          </xdr:spPr>
        </xdr:sp>
        <xdr:sp macro="" textlink="">
          <xdr:nvSpPr>
            <xdr:cNvPr id="411" name="Freeform 164">
              <a:extLst>
                <a:ext uri="{FF2B5EF4-FFF2-40B4-BE49-F238E27FC236}">
                  <a16:creationId xmlns:a16="http://schemas.microsoft.com/office/drawing/2014/main" id="{00000000-0008-0000-1000-00009B010000}"/>
                </a:ext>
              </a:extLst>
            </xdr:cNvPr>
            <xdr:cNvSpPr>
              <a:spLocks/>
            </xdr:cNvSpPr>
          </xdr:nvSpPr>
          <xdr:spPr bwMode="auto">
            <a:xfrm>
              <a:off x="889" y="719"/>
              <a:ext cx="29" cy="19"/>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grpSp>
        <xdr:nvGrpSpPr>
          <xdr:cNvPr id="243" name="Group 165">
            <a:extLst>
              <a:ext uri="{FF2B5EF4-FFF2-40B4-BE49-F238E27FC236}">
                <a16:creationId xmlns:a16="http://schemas.microsoft.com/office/drawing/2014/main" id="{00000000-0008-0000-1000-0000F3000000}"/>
              </a:ext>
            </a:extLst>
          </xdr:cNvPr>
          <xdr:cNvGrpSpPr>
            <a:grpSpLocks/>
          </xdr:cNvGrpSpPr>
        </xdr:nvGrpSpPr>
        <xdr:grpSpPr bwMode="auto">
          <a:xfrm>
            <a:off x="4591050" y="2095500"/>
            <a:ext cx="1333500" cy="2352675"/>
            <a:chOff x="837" y="652"/>
            <a:chExt cx="140" cy="247"/>
          </a:xfrm>
        </xdr:grpSpPr>
        <xdr:sp macro="" textlink="">
          <xdr:nvSpPr>
            <xdr:cNvPr id="334" name="Freeform 166">
              <a:extLst>
                <a:ext uri="{FF2B5EF4-FFF2-40B4-BE49-F238E27FC236}">
                  <a16:creationId xmlns:a16="http://schemas.microsoft.com/office/drawing/2014/main" id="{00000000-0008-0000-1000-00004E010000}"/>
                </a:ext>
              </a:extLst>
            </xdr:cNvPr>
            <xdr:cNvSpPr>
              <a:spLocks/>
            </xdr:cNvSpPr>
          </xdr:nvSpPr>
          <xdr:spPr bwMode="auto">
            <a:xfrm>
              <a:off x="880"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35" name="Rectangle 167">
              <a:extLst>
                <a:ext uri="{FF2B5EF4-FFF2-40B4-BE49-F238E27FC236}">
                  <a16:creationId xmlns:a16="http://schemas.microsoft.com/office/drawing/2014/main" id="{00000000-0008-0000-1000-00004F010000}"/>
                </a:ext>
              </a:extLst>
            </xdr:cNvPr>
            <xdr:cNvSpPr>
              <a:spLocks noChangeArrowheads="1"/>
            </xdr:cNvSpPr>
          </xdr:nvSpPr>
          <xdr:spPr bwMode="auto">
            <a:xfrm>
              <a:off x="837" y="741"/>
              <a:ext cx="27" cy="151"/>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336" name="Freeform 168">
              <a:extLst>
                <a:ext uri="{FF2B5EF4-FFF2-40B4-BE49-F238E27FC236}">
                  <a16:creationId xmlns:a16="http://schemas.microsoft.com/office/drawing/2014/main" id="{00000000-0008-0000-1000-000050010000}"/>
                </a:ext>
              </a:extLst>
            </xdr:cNvPr>
            <xdr:cNvSpPr>
              <a:spLocks/>
            </xdr:cNvSpPr>
          </xdr:nvSpPr>
          <xdr:spPr bwMode="auto">
            <a:xfrm>
              <a:off x="864" y="720"/>
              <a:ext cx="21" cy="177"/>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337" name="Line 169">
              <a:extLst>
                <a:ext uri="{FF2B5EF4-FFF2-40B4-BE49-F238E27FC236}">
                  <a16:creationId xmlns:a16="http://schemas.microsoft.com/office/drawing/2014/main" id="{00000000-0008-0000-1000-000051010000}"/>
                </a:ext>
              </a:extLst>
            </xdr:cNvPr>
            <xdr:cNvSpPr>
              <a:spLocks noChangeShapeType="1"/>
            </xdr:cNvSpPr>
          </xdr:nvSpPr>
          <xdr:spPr bwMode="auto">
            <a:xfrm flipV="1">
              <a:off x="885" y="707"/>
              <a:ext cx="13" cy="13"/>
            </a:xfrm>
            <a:prstGeom prst="line">
              <a:avLst/>
            </a:prstGeom>
            <a:noFill/>
            <a:ln w="28575">
              <a:solidFill>
                <a:srgbClr val="A6CAF0"/>
              </a:solidFill>
              <a:round/>
              <a:headEnd/>
              <a:tailEnd/>
            </a:ln>
          </xdr:spPr>
        </xdr:sp>
        <xdr:sp macro="" textlink="">
          <xdr:nvSpPr>
            <xdr:cNvPr id="338" name="Freeform 170">
              <a:extLst>
                <a:ext uri="{FF2B5EF4-FFF2-40B4-BE49-F238E27FC236}">
                  <a16:creationId xmlns:a16="http://schemas.microsoft.com/office/drawing/2014/main" id="{00000000-0008-0000-1000-000052010000}"/>
                </a:ext>
              </a:extLst>
            </xdr:cNvPr>
            <xdr:cNvSpPr>
              <a:spLocks/>
            </xdr:cNvSpPr>
          </xdr:nvSpPr>
          <xdr:spPr bwMode="auto">
            <a:xfrm>
              <a:off x="896"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339" name="Freeform 171">
              <a:extLst>
                <a:ext uri="{FF2B5EF4-FFF2-40B4-BE49-F238E27FC236}">
                  <a16:creationId xmlns:a16="http://schemas.microsoft.com/office/drawing/2014/main" id="{00000000-0008-0000-1000-000053010000}"/>
                </a:ext>
              </a:extLst>
            </xdr:cNvPr>
            <xdr:cNvSpPr>
              <a:spLocks/>
            </xdr:cNvSpPr>
          </xdr:nvSpPr>
          <xdr:spPr bwMode="auto">
            <a:xfrm>
              <a:off x="884"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40" name="Line 172">
              <a:extLst>
                <a:ext uri="{FF2B5EF4-FFF2-40B4-BE49-F238E27FC236}">
                  <a16:creationId xmlns:a16="http://schemas.microsoft.com/office/drawing/2014/main" id="{00000000-0008-0000-1000-000054010000}"/>
                </a:ext>
              </a:extLst>
            </xdr:cNvPr>
            <xdr:cNvSpPr>
              <a:spLocks noChangeShapeType="1"/>
            </xdr:cNvSpPr>
          </xdr:nvSpPr>
          <xdr:spPr bwMode="auto">
            <a:xfrm>
              <a:off x="910" y="705"/>
              <a:ext cx="0" cy="187"/>
            </a:xfrm>
            <a:prstGeom prst="line">
              <a:avLst/>
            </a:prstGeom>
            <a:noFill/>
            <a:ln w="28575">
              <a:solidFill>
                <a:srgbClr val="A6CAF0"/>
              </a:solidFill>
              <a:round/>
              <a:headEnd/>
              <a:tailEnd/>
            </a:ln>
          </xdr:spPr>
        </xdr:sp>
        <xdr:sp macro="" textlink="">
          <xdr:nvSpPr>
            <xdr:cNvPr id="341" name="Line 173">
              <a:extLst>
                <a:ext uri="{FF2B5EF4-FFF2-40B4-BE49-F238E27FC236}">
                  <a16:creationId xmlns:a16="http://schemas.microsoft.com/office/drawing/2014/main" id="{00000000-0008-0000-1000-000055010000}"/>
                </a:ext>
              </a:extLst>
            </xdr:cNvPr>
            <xdr:cNvSpPr>
              <a:spLocks noChangeShapeType="1"/>
            </xdr:cNvSpPr>
          </xdr:nvSpPr>
          <xdr:spPr bwMode="auto">
            <a:xfrm>
              <a:off x="897" y="707"/>
              <a:ext cx="1" cy="152"/>
            </a:xfrm>
            <a:prstGeom prst="line">
              <a:avLst/>
            </a:prstGeom>
            <a:noFill/>
            <a:ln w="19050">
              <a:solidFill>
                <a:srgbClr val="A6CAF0"/>
              </a:solidFill>
              <a:round/>
              <a:headEnd/>
              <a:tailEnd/>
            </a:ln>
          </xdr:spPr>
        </xdr:sp>
        <xdr:sp macro="" textlink="">
          <xdr:nvSpPr>
            <xdr:cNvPr id="342" name="Line 174">
              <a:extLst>
                <a:ext uri="{FF2B5EF4-FFF2-40B4-BE49-F238E27FC236}">
                  <a16:creationId xmlns:a16="http://schemas.microsoft.com/office/drawing/2014/main" id="{00000000-0008-0000-1000-000056010000}"/>
                </a:ext>
              </a:extLst>
            </xdr:cNvPr>
            <xdr:cNvSpPr>
              <a:spLocks noChangeShapeType="1"/>
            </xdr:cNvSpPr>
          </xdr:nvSpPr>
          <xdr:spPr bwMode="auto">
            <a:xfrm>
              <a:off x="885" y="721"/>
              <a:ext cx="1" cy="152"/>
            </a:xfrm>
            <a:prstGeom prst="line">
              <a:avLst/>
            </a:prstGeom>
            <a:noFill/>
            <a:ln w="19050">
              <a:solidFill>
                <a:srgbClr val="00CCFF"/>
              </a:solidFill>
              <a:round/>
              <a:headEnd/>
              <a:tailEnd/>
            </a:ln>
          </xdr:spPr>
        </xdr:sp>
        <xdr:sp macro="" textlink="">
          <xdr:nvSpPr>
            <xdr:cNvPr id="343" name="Freeform 175">
              <a:extLst>
                <a:ext uri="{FF2B5EF4-FFF2-40B4-BE49-F238E27FC236}">
                  <a16:creationId xmlns:a16="http://schemas.microsoft.com/office/drawing/2014/main" id="{00000000-0008-0000-1000-000057010000}"/>
                </a:ext>
              </a:extLst>
            </xdr:cNvPr>
            <xdr:cNvSpPr>
              <a:spLocks/>
            </xdr:cNvSpPr>
          </xdr:nvSpPr>
          <xdr:spPr bwMode="auto">
            <a:xfrm>
              <a:off x="883"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344" name="Line 176">
              <a:extLst>
                <a:ext uri="{FF2B5EF4-FFF2-40B4-BE49-F238E27FC236}">
                  <a16:creationId xmlns:a16="http://schemas.microsoft.com/office/drawing/2014/main" id="{00000000-0008-0000-1000-000058010000}"/>
                </a:ext>
              </a:extLst>
            </xdr:cNvPr>
            <xdr:cNvSpPr>
              <a:spLocks noChangeShapeType="1"/>
            </xdr:cNvSpPr>
          </xdr:nvSpPr>
          <xdr:spPr bwMode="auto">
            <a:xfrm>
              <a:off x="881" y="706"/>
              <a:ext cx="0" cy="0"/>
            </a:xfrm>
            <a:prstGeom prst="line">
              <a:avLst/>
            </a:prstGeom>
            <a:noFill/>
            <a:ln w="9525">
              <a:solidFill>
                <a:srgbClr val="000000"/>
              </a:solidFill>
              <a:round/>
              <a:headEnd/>
              <a:tailEnd/>
            </a:ln>
          </xdr:spPr>
        </xdr:sp>
        <xdr:sp macro="" textlink="">
          <xdr:nvSpPr>
            <xdr:cNvPr id="345" name="Freeform 177">
              <a:extLst>
                <a:ext uri="{FF2B5EF4-FFF2-40B4-BE49-F238E27FC236}">
                  <a16:creationId xmlns:a16="http://schemas.microsoft.com/office/drawing/2014/main" id="{00000000-0008-0000-1000-000059010000}"/>
                </a:ext>
              </a:extLst>
            </xdr:cNvPr>
            <xdr:cNvSpPr>
              <a:spLocks/>
            </xdr:cNvSpPr>
          </xdr:nvSpPr>
          <xdr:spPr bwMode="auto">
            <a:xfrm>
              <a:off x="876"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346" name="Group 178">
              <a:extLst>
                <a:ext uri="{FF2B5EF4-FFF2-40B4-BE49-F238E27FC236}">
                  <a16:creationId xmlns:a16="http://schemas.microsoft.com/office/drawing/2014/main" id="{00000000-0008-0000-1000-00005A010000}"/>
                </a:ext>
              </a:extLst>
            </xdr:cNvPr>
            <xdr:cNvGrpSpPr>
              <a:grpSpLocks/>
            </xdr:cNvGrpSpPr>
          </xdr:nvGrpSpPr>
          <xdr:grpSpPr bwMode="auto">
            <a:xfrm>
              <a:off x="885" y="652"/>
              <a:ext cx="65" cy="47"/>
              <a:chOff x="112" y="627"/>
              <a:chExt cx="65" cy="47"/>
            </a:xfrm>
          </xdr:grpSpPr>
          <xdr:sp macro="" textlink="">
            <xdr:nvSpPr>
              <xdr:cNvPr id="373" name="Freeform 179">
                <a:extLst>
                  <a:ext uri="{FF2B5EF4-FFF2-40B4-BE49-F238E27FC236}">
                    <a16:creationId xmlns:a16="http://schemas.microsoft.com/office/drawing/2014/main" id="{00000000-0008-0000-1000-000075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374" name="Freeform 180">
                <a:extLst>
                  <a:ext uri="{FF2B5EF4-FFF2-40B4-BE49-F238E27FC236}">
                    <a16:creationId xmlns:a16="http://schemas.microsoft.com/office/drawing/2014/main" id="{00000000-0008-0000-1000-000076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347" name="Line 181">
              <a:extLst>
                <a:ext uri="{FF2B5EF4-FFF2-40B4-BE49-F238E27FC236}">
                  <a16:creationId xmlns:a16="http://schemas.microsoft.com/office/drawing/2014/main" id="{00000000-0008-0000-1000-00005B010000}"/>
                </a:ext>
              </a:extLst>
            </xdr:cNvPr>
            <xdr:cNvSpPr>
              <a:spLocks noChangeShapeType="1"/>
            </xdr:cNvSpPr>
          </xdr:nvSpPr>
          <xdr:spPr bwMode="auto">
            <a:xfrm>
              <a:off x="909" y="693"/>
              <a:ext cx="0" cy="3"/>
            </a:xfrm>
            <a:prstGeom prst="line">
              <a:avLst/>
            </a:prstGeom>
            <a:noFill/>
            <a:ln w="9525">
              <a:solidFill>
                <a:srgbClr val="000000"/>
              </a:solidFill>
              <a:round/>
              <a:headEnd/>
              <a:tailEnd/>
            </a:ln>
          </xdr:spPr>
        </xdr:sp>
        <xdr:sp macro="" textlink="">
          <xdr:nvSpPr>
            <xdr:cNvPr id="348" name="Line 182">
              <a:extLst>
                <a:ext uri="{FF2B5EF4-FFF2-40B4-BE49-F238E27FC236}">
                  <a16:creationId xmlns:a16="http://schemas.microsoft.com/office/drawing/2014/main" id="{00000000-0008-0000-1000-00005C010000}"/>
                </a:ext>
              </a:extLst>
            </xdr:cNvPr>
            <xdr:cNvSpPr>
              <a:spLocks noChangeShapeType="1"/>
            </xdr:cNvSpPr>
          </xdr:nvSpPr>
          <xdr:spPr bwMode="auto">
            <a:xfrm flipV="1">
              <a:off x="886" y="711"/>
              <a:ext cx="11" cy="11"/>
            </a:xfrm>
            <a:prstGeom prst="line">
              <a:avLst/>
            </a:prstGeom>
            <a:noFill/>
            <a:ln w="19050">
              <a:solidFill>
                <a:srgbClr val="A6CAF0"/>
              </a:solidFill>
              <a:round/>
              <a:headEnd/>
              <a:tailEnd/>
            </a:ln>
          </xdr:spPr>
        </xdr:sp>
        <xdr:sp macro="" textlink="">
          <xdr:nvSpPr>
            <xdr:cNvPr id="349" name="Line 183">
              <a:extLst>
                <a:ext uri="{FF2B5EF4-FFF2-40B4-BE49-F238E27FC236}">
                  <a16:creationId xmlns:a16="http://schemas.microsoft.com/office/drawing/2014/main" id="{00000000-0008-0000-1000-00005D010000}"/>
                </a:ext>
              </a:extLst>
            </xdr:cNvPr>
            <xdr:cNvSpPr>
              <a:spLocks noChangeShapeType="1"/>
            </xdr:cNvSpPr>
          </xdr:nvSpPr>
          <xdr:spPr bwMode="auto">
            <a:xfrm flipV="1">
              <a:off x="882" y="707"/>
              <a:ext cx="12" cy="13"/>
            </a:xfrm>
            <a:prstGeom prst="line">
              <a:avLst/>
            </a:prstGeom>
            <a:noFill/>
            <a:ln w="19050">
              <a:solidFill>
                <a:srgbClr val="A6CAF0"/>
              </a:solidFill>
              <a:round/>
              <a:headEnd/>
              <a:tailEnd/>
            </a:ln>
          </xdr:spPr>
        </xdr:sp>
        <xdr:sp macro="" textlink="">
          <xdr:nvSpPr>
            <xdr:cNvPr id="350" name="Freeform 184">
              <a:extLst>
                <a:ext uri="{FF2B5EF4-FFF2-40B4-BE49-F238E27FC236}">
                  <a16:creationId xmlns:a16="http://schemas.microsoft.com/office/drawing/2014/main" id="{00000000-0008-0000-1000-00005E010000}"/>
                </a:ext>
              </a:extLst>
            </xdr:cNvPr>
            <xdr:cNvSpPr>
              <a:spLocks/>
            </xdr:cNvSpPr>
          </xdr:nvSpPr>
          <xdr:spPr bwMode="auto">
            <a:xfrm>
              <a:off x="837" y="719"/>
              <a:ext cx="48" cy="22"/>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351" name="Freeform 185">
              <a:extLst>
                <a:ext uri="{FF2B5EF4-FFF2-40B4-BE49-F238E27FC236}">
                  <a16:creationId xmlns:a16="http://schemas.microsoft.com/office/drawing/2014/main" id="{00000000-0008-0000-1000-00005F010000}"/>
                </a:ext>
              </a:extLst>
            </xdr:cNvPr>
            <xdr:cNvSpPr>
              <a:spLocks/>
            </xdr:cNvSpPr>
          </xdr:nvSpPr>
          <xdr:spPr bwMode="auto">
            <a:xfrm>
              <a:off x="882"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352" name="Line 186">
              <a:extLst>
                <a:ext uri="{FF2B5EF4-FFF2-40B4-BE49-F238E27FC236}">
                  <a16:creationId xmlns:a16="http://schemas.microsoft.com/office/drawing/2014/main" id="{00000000-0008-0000-1000-000060010000}"/>
                </a:ext>
              </a:extLst>
            </xdr:cNvPr>
            <xdr:cNvSpPr>
              <a:spLocks noChangeShapeType="1"/>
            </xdr:cNvSpPr>
          </xdr:nvSpPr>
          <xdr:spPr bwMode="auto">
            <a:xfrm>
              <a:off x="933" y="706"/>
              <a:ext cx="0" cy="0"/>
            </a:xfrm>
            <a:prstGeom prst="line">
              <a:avLst/>
            </a:prstGeom>
            <a:noFill/>
            <a:ln w="9525">
              <a:solidFill>
                <a:srgbClr val="000000"/>
              </a:solidFill>
              <a:round/>
              <a:headEnd/>
              <a:tailEnd/>
            </a:ln>
          </xdr:spPr>
        </xdr:sp>
        <xdr:sp macro="" textlink="">
          <xdr:nvSpPr>
            <xdr:cNvPr id="353" name="Freeform 187">
              <a:extLst>
                <a:ext uri="{FF2B5EF4-FFF2-40B4-BE49-F238E27FC236}">
                  <a16:creationId xmlns:a16="http://schemas.microsoft.com/office/drawing/2014/main" id="{00000000-0008-0000-1000-000061010000}"/>
                </a:ext>
              </a:extLst>
            </xdr:cNvPr>
            <xdr:cNvSpPr>
              <a:spLocks/>
            </xdr:cNvSpPr>
          </xdr:nvSpPr>
          <xdr:spPr bwMode="auto">
            <a:xfrm>
              <a:off x="907"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54" name="Freeform 188">
              <a:extLst>
                <a:ext uri="{FF2B5EF4-FFF2-40B4-BE49-F238E27FC236}">
                  <a16:creationId xmlns:a16="http://schemas.microsoft.com/office/drawing/2014/main" id="{00000000-0008-0000-1000-000062010000}"/>
                </a:ext>
              </a:extLst>
            </xdr:cNvPr>
            <xdr:cNvSpPr>
              <a:spLocks/>
            </xdr:cNvSpPr>
          </xdr:nvSpPr>
          <xdr:spPr bwMode="auto">
            <a:xfrm>
              <a:off x="889" y="720"/>
              <a:ext cx="23" cy="176"/>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355" name="Line 189">
              <a:extLst>
                <a:ext uri="{FF2B5EF4-FFF2-40B4-BE49-F238E27FC236}">
                  <a16:creationId xmlns:a16="http://schemas.microsoft.com/office/drawing/2014/main" id="{00000000-0008-0000-1000-000063010000}"/>
                </a:ext>
              </a:extLst>
            </xdr:cNvPr>
            <xdr:cNvSpPr>
              <a:spLocks noChangeShapeType="1"/>
            </xdr:cNvSpPr>
          </xdr:nvSpPr>
          <xdr:spPr bwMode="auto">
            <a:xfrm flipV="1">
              <a:off x="912" y="707"/>
              <a:ext cx="13" cy="13"/>
            </a:xfrm>
            <a:prstGeom prst="line">
              <a:avLst/>
            </a:prstGeom>
            <a:noFill/>
            <a:ln w="28575">
              <a:solidFill>
                <a:srgbClr val="A6CAF0"/>
              </a:solidFill>
              <a:round/>
              <a:headEnd/>
              <a:tailEnd/>
            </a:ln>
          </xdr:spPr>
        </xdr:sp>
        <xdr:sp macro="" textlink="">
          <xdr:nvSpPr>
            <xdr:cNvPr id="356" name="Freeform 190">
              <a:extLst>
                <a:ext uri="{FF2B5EF4-FFF2-40B4-BE49-F238E27FC236}">
                  <a16:creationId xmlns:a16="http://schemas.microsoft.com/office/drawing/2014/main" id="{00000000-0008-0000-1000-000064010000}"/>
                </a:ext>
              </a:extLst>
            </xdr:cNvPr>
            <xdr:cNvSpPr>
              <a:spLocks/>
            </xdr:cNvSpPr>
          </xdr:nvSpPr>
          <xdr:spPr bwMode="auto">
            <a:xfrm>
              <a:off x="923"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357" name="Freeform 191">
              <a:extLst>
                <a:ext uri="{FF2B5EF4-FFF2-40B4-BE49-F238E27FC236}">
                  <a16:creationId xmlns:a16="http://schemas.microsoft.com/office/drawing/2014/main" id="{00000000-0008-0000-1000-000065010000}"/>
                </a:ext>
              </a:extLst>
            </xdr:cNvPr>
            <xdr:cNvSpPr>
              <a:spLocks/>
            </xdr:cNvSpPr>
          </xdr:nvSpPr>
          <xdr:spPr bwMode="auto">
            <a:xfrm>
              <a:off x="911"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58" name="Line 192">
              <a:extLst>
                <a:ext uri="{FF2B5EF4-FFF2-40B4-BE49-F238E27FC236}">
                  <a16:creationId xmlns:a16="http://schemas.microsoft.com/office/drawing/2014/main" id="{00000000-0008-0000-1000-000066010000}"/>
                </a:ext>
              </a:extLst>
            </xdr:cNvPr>
            <xdr:cNvSpPr>
              <a:spLocks noChangeShapeType="1"/>
            </xdr:cNvSpPr>
          </xdr:nvSpPr>
          <xdr:spPr bwMode="auto">
            <a:xfrm>
              <a:off x="937" y="705"/>
              <a:ext cx="0" cy="187"/>
            </a:xfrm>
            <a:prstGeom prst="line">
              <a:avLst/>
            </a:prstGeom>
            <a:noFill/>
            <a:ln w="28575">
              <a:solidFill>
                <a:srgbClr val="A6CAF0"/>
              </a:solidFill>
              <a:round/>
              <a:headEnd/>
              <a:tailEnd/>
            </a:ln>
          </xdr:spPr>
        </xdr:sp>
        <xdr:sp macro="" textlink="">
          <xdr:nvSpPr>
            <xdr:cNvPr id="359" name="Line 193">
              <a:extLst>
                <a:ext uri="{FF2B5EF4-FFF2-40B4-BE49-F238E27FC236}">
                  <a16:creationId xmlns:a16="http://schemas.microsoft.com/office/drawing/2014/main" id="{00000000-0008-0000-1000-000067010000}"/>
                </a:ext>
              </a:extLst>
            </xdr:cNvPr>
            <xdr:cNvSpPr>
              <a:spLocks noChangeShapeType="1"/>
            </xdr:cNvSpPr>
          </xdr:nvSpPr>
          <xdr:spPr bwMode="auto">
            <a:xfrm>
              <a:off x="924" y="707"/>
              <a:ext cx="1" cy="152"/>
            </a:xfrm>
            <a:prstGeom prst="line">
              <a:avLst/>
            </a:prstGeom>
            <a:noFill/>
            <a:ln w="19050">
              <a:solidFill>
                <a:srgbClr val="A6CAF0"/>
              </a:solidFill>
              <a:round/>
              <a:headEnd/>
              <a:tailEnd/>
            </a:ln>
          </xdr:spPr>
        </xdr:sp>
        <xdr:sp macro="" textlink="">
          <xdr:nvSpPr>
            <xdr:cNvPr id="360" name="Line 194">
              <a:extLst>
                <a:ext uri="{FF2B5EF4-FFF2-40B4-BE49-F238E27FC236}">
                  <a16:creationId xmlns:a16="http://schemas.microsoft.com/office/drawing/2014/main" id="{00000000-0008-0000-1000-000068010000}"/>
                </a:ext>
              </a:extLst>
            </xdr:cNvPr>
            <xdr:cNvSpPr>
              <a:spLocks noChangeShapeType="1"/>
            </xdr:cNvSpPr>
          </xdr:nvSpPr>
          <xdr:spPr bwMode="auto">
            <a:xfrm>
              <a:off x="912" y="721"/>
              <a:ext cx="1" cy="152"/>
            </a:xfrm>
            <a:prstGeom prst="line">
              <a:avLst/>
            </a:prstGeom>
            <a:noFill/>
            <a:ln w="19050">
              <a:solidFill>
                <a:srgbClr val="00CCFF"/>
              </a:solidFill>
              <a:round/>
              <a:headEnd/>
              <a:tailEnd/>
            </a:ln>
          </xdr:spPr>
        </xdr:sp>
        <xdr:sp macro="" textlink="">
          <xdr:nvSpPr>
            <xdr:cNvPr id="361" name="Freeform 195">
              <a:extLst>
                <a:ext uri="{FF2B5EF4-FFF2-40B4-BE49-F238E27FC236}">
                  <a16:creationId xmlns:a16="http://schemas.microsoft.com/office/drawing/2014/main" id="{00000000-0008-0000-1000-000069010000}"/>
                </a:ext>
              </a:extLst>
            </xdr:cNvPr>
            <xdr:cNvSpPr>
              <a:spLocks/>
            </xdr:cNvSpPr>
          </xdr:nvSpPr>
          <xdr:spPr bwMode="auto">
            <a:xfrm>
              <a:off x="910"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362" name="Line 196">
              <a:extLst>
                <a:ext uri="{FF2B5EF4-FFF2-40B4-BE49-F238E27FC236}">
                  <a16:creationId xmlns:a16="http://schemas.microsoft.com/office/drawing/2014/main" id="{00000000-0008-0000-1000-00006A010000}"/>
                </a:ext>
              </a:extLst>
            </xdr:cNvPr>
            <xdr:cNvSpPr>
              <a:spLocks noChangeShapeType="1"/>
            </xdr:cNvSpPr>
          </xdr:nvSpPr>
          <xdr:spPr bwMode="auto">
            <a:xfrm>
              <a:off x="908" y="706"/>
              <a:ext cx="0" cy="0"/>
            </a:xfrm>
            <a:prstGeom prst="line">
              <a:avLst/>
            </a:prstGeom>
            <a:noFill/>
            <a:ln w="9525">
              <a:solidFill>
                <a:srgbClr val="000000"/>
              </a:solidFill>
              <a:round/>
              <a:headEnd/>
              <a:tailEnd/>
            </a:ln>
          </xdr:spPr>
        </xdr:sp>
        <xdr:sp macro="" textlink="">
          <xdr:nvSpPr>
            <xdr:cNvPr id="363" name="Freeform 197">
              <a:extLst>
                <a:ext uri="{FF2B5EF4-FFF2-40B4-BE49-F238E27FC236}">
                  <a16:creationId xmlns:a16="http://schemas.microsoft.com/office/drawing/2014/main" id="{00000000-0008-0000-1000-00006B010000}"/>
                </a:ext>
              </a:extLst>
            </xdr:cNvPr>
            <xdr:cNvSpPr>
              <a:spLocks/>
            </xdr:cNvSpPr>
          </xdr:nvSpPr>
          <xdr:spPr bwMode="auto">
            <a:xfrm>
              <a:off x="903"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364" name="Group 198">
              <a:extLst>
                <a:ext uri="{FF2B5EF4-FFF2-40B4-BE49-F238E27FC236}">
                  <a16:creationId xmlns:a16="http://schemas.microsoft.com/office/drawing/2014/main" id="{00000000-0008-0000-1000-00006C010000}"/>
                </a:ext>
              </a:extLst>
            </xdr:cNvPr>
            <xdr:cNvGrpSpPr>
              <a:grpSpLocks/>
            </xdr:cNvGrpSpPr>
          </xdr:nvGrpSpPr>
          <xdr:grpSpPr bwMode="auto">
            <a:xfrm>
              <a:off x="912" y="652"/>
              <a:ext cx="65" cy="47"/>
              <a:chOff x="112" y="627"/>
              <a:chExt cx="65" cy="47"/>
            </a:xfrm>
          </xdr:grpSpPr>
          <xdr:sp macro="" textlink="">
            <xdr:nvSpPr>
              <xdr:cNvPr id="371" name="Freeform 199">
                <a:extLst>
                  <a:ext uri="{FF2B5EF4-FFF2-40B4-BE49-F238E27FC236}">
                    <a16:creationId xmlns:a16="http://schemas.microsoft.com/office/drawing/2014/main" id="{00000000-0008-0000-1000-000073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372" name="Freeform 200">
                <a:extLst>
                  <a:ext uri="{FF2B5EF4-FFF2-40B4-BE49-F238E27FC236}">
                    <a16:creationId xmlns:a16="http://schemas.microsoft.com/office/drawing/2014/main" id="{00000000-0008-0000-1000-000074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365" name="Line 201">
              <a:extLst>
                <a:ext uri="{FF2B5EF4-FFF2-40B4-BE49-F238E27FC236}">
                  <a16:creationId xmlns:a16="http://schemas.microsoft.com/office/drawing/2014/main" id="{00000000-0008-0000-1000-00006D010000}"/>
                </a:ext>
              </a:extLst>
            </xdr:cNvPr>
            <xdr:cNvSpPr>
              <a:spLocks noChangeShapeType="1"/>
            </xdr:cNvSpPr>
          </xdr:nvSpPr>
          <xdr:spPr bwMode="auto">
            <a:xfrm>
              <a:off x="936" y="693"/>
              <a:ext cx="0" cy="3"/>
            </a:xfrm>
            <a:prstGeom prst="line">
              <a:avLst/>
            </a:prstGeom>
            <a:noFill/>
            <a:ln w="9525">
              <a:solidFill>
                <a:srgbClr val="000000"/>
              </a:solidFill>
              <a:round/>
              <a:headEnd/>
              <a:tailEnd/>
            </a:ln>
          </xdr:spPr>
        </xdr:sp>
        <xdr:sp macro="" textlink="">
          <xdr:nvSpPr>
            <xdr:cNvPr id="366" name="Line 202">
              <a:extLst>
                <a:ext uri="{FF2B5EF4-FFF2-40B4-BE49-F238E27FC236}">
                  <a16:creationId xmlns:a16="http://schemas.microsoft.com/office/drawing/2014/main" id="{00000000-0008-0000-1000-00006E010000}"/>
                </a:ext>
              </a:extLst>
            </xdr:cNvPr>
            <xdr:cNvSpPr>
              <a:spLocks noChangeShapeType="1"/>
            </xdr:cNvSpPr>
          </xdr:nvSpPr>
          <xdr:spPr bwMode="auto">
            <a:xfrm flipV="1">
              <a:off x="913" y="711"/>
              <a:ext cx="11" cy="11"/>
            </a:xfrm>
            <a:prstGeom prst="line">
              <a:avLst/>
            </a:prstGeom>
            <a:noFill/>
            <a:ln w="19050">
              <a:solidFill>
                <a:srgbClr val="A6CAF0"/>
              </a:solidFill>
              <a:round/>
              <a:headEnd/>
              <a:tailEnd/>
            </a:ln>
          </xdr:spPr>
        </xdr:sp>
        <xdr:sp macro="" textlink="">
          <xdr:nvSpPr>
            <xdr:cNvPr id="367" name="Line 203">
              <a:extLst>
                <a:ext uri="{FF2B5EF4-FFF2-40B4-BE49-F238E27FC236}">
                  <a16:creationId xmlns:a16="http://schemas.microsoft.com/office/drawing/2014/main" id="{00000000-0008-0000-1000-00006F010000}"/>
                </a:ext>
              </a:extLst>
            </xdr:cNvPr>
            <xdr:cNvSpPr>
              <a:spLocks noChangeShapeType="1"/>
            </xdr:cNvSpPr>
          </xdr:nvSpPr>
          <xdr:spPr bwMode="auto">
            <a:xfrm flipV="1">
              <a:off x="909" y="707"/>
              <a:ext cx="12" cy="13"/>
            </a:xfrm>
            <a:prstGeom prst="line">
              <a:avLst/>
            </a:prstGeom>
            <a:noFill/>
            <a:ln w="19050">
              <a:solidFill>
                <a:srgbClr val="A6CAF0"/>
              </a:solidFill>
              <a:round/>
              <a:headEnd/>
              <a:tailEnd/>
            </a:ln>
          </xdr:spPr>
        </xdr:sp>
        <xdr:sp macro="" textlink="">
          <xdr:nvSpPr>
            <xdr:cNvPr id="368" name="Freeform 204">
              <a:extLst>
                <a:ext uri="{FF2B5EF4-FFF2-40B4-BE49-F238E27FC236}">
                  <a16:creationId xmlns:a16="http://schemas.microsoft.com/office/drawing/2014/main" id="{00000000-0008-0000-1000-000070010000}"/>
                </a:ext>
              </a:extLst>
            </xdr:cNvPr>
            <xdr:cNvSpPr>
              <a:spLocks/>
            </xdr:cNvSpPr>
          </xdr:nvSpPr>
          <xdr:spPr bwMode="auto">
            <a:xfrm>
              <a:off x="909"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369" name="Line 205">
              <a:extLst>
                <a:ext uri="{FF2B5EF4-FFF2-40B4-BE49-F238E27FC236}">
                  <a16:creationId xmlns:a16="http://schemas.microsoft.com/office/drawing/2014/main" id="{00000000-0008-0000-1000-000071010000}"/>
                </a:ext>
              </a:extLst>
            </xdr:cNvPr>
            <xdr:cNvSpPr>
              <a:spLocks noChangeShapeType="1"/>
            </xdr:cNvSpPr>
          </xdr:nvSpPr>
          <xdr:spPr bwMode="auto">
            <a:xfrm>
              <a:off x="960" y="706"/>
              <a:ext cx="0" cy="0"/>
            </a:xfrm>
            <a:prstGeom prst="line">
              <a:avLst/>
            </a:prstGeom>
            <a:noFill/>
            <a:ln w="9525">
              <a:solidFill>
                <a:srgbClr val="000000"/>
              </a:solidFill>
              <a:round/>
              <a:headEnd/>
              <a:tailEnd/>
            </a:ln>
          </xdr:spPr>
        </xdr:sp>
        <xdr:sp macro="" textlink="">
          <xdr:nvSpPr>
            <xdr:cNvPr id="370" name="Freeform 206">
              <a:extLst>
                <a:ext uri="{FF2B5EF4-FFF2-40B4-BE49-F238E27FC236}">
                  <a16:creationId xmlns:a16="http://schemas.microsoft.com/office/drawing/2014/main" id="{00000000-0008-0000-1000-000072010000}"/>
                </a:ext>
              </a:extLst>
            </xdr:cNvPr>
            <xdr:cNvSpPr>
              <a:spLocks/>
            </xdr:cNvSpPr>
          </xdr:nvSpPr>
          <xdr:spPr bwMode="auto">
            <a:xfrm>
              <a:off x="889" y="719"/>
              <a:ext cx="29" cy="19"/>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sp macro="" textlink="">
        <xdr:nvSpPr>
          <xdr:cNvPr id="244" name="AutoShape 207">
            <a:extLst>
              <a:ext uri="{FF2B5EF4-FFF2-40B4-BE49-F238E27FC236}">
                <a16:creationId xmlns:a16="http://schemas.microsoft.com/office/drawing/2014/main" id="{00000000-0008-0000-1000-0000F4000000}"/>
              </a:ext>
            </a:extLst>
          </xdr:cNvPr>
          <xdr:cNvSpPr>
            <a:spLocks noChangeArrowheads="1"/>
          </xdr:cNvSpPr>
        </xdr:nvSpPr>
        <xdr:spPr bwMode="auto">
          <a:xfrm>
            <a:off x="4991100" y="2800350"/>
            <a:ext cx="809625" cy="1876425"/>
          </a:xfrm>
          <a:prstGeom prst="roundRect">
            <a:avLst>
              <a:gd name="adj" fmla="val 31394"/>
            </a:avLst>
          </a:prstGeom>
          <a:solidFill>
            <a:srgbClr val="BDFFFF"/>
          </a:solidFill>
          <a:ln w="9525">
            <a:noFill/>
            <a:round/>
            <a:headEnd/>
            <a:tailEnd/>
          </a:ln>
        </xdr:spPr>
      </xdr:sp>
      <xdr:sp macro="" textlink="">
        <xdr:nvSpPr>
          <xdr:cNvPr id="245" name="Freeform 208">
            <a:extLst>
              <a:ext uri="{FF2B5EF4-FFF2-40B4-BE49-F238E27FC236}">
                <a16:creationId xmlns:a16="http://schemas.microsoft.com/office/drawing/2014/main" id="{00000000-0008-0000-1000-0000F5000000}"/>
              </a:ext>
            </a:extLst>
          </xdr:cNvPr>
          <xdr:cNvSpPr>
            <a:spLocks/>
          </xdr:cNvSpPr>
        </xdr:nvSpPr>
        <xdr:spPr bwMode="auto">
          <a:xfrm>
            <a:off x="2628900" y="2800350"/>
            <a:ext cx="809625" cy="1790700"/>
          </a:xfrm>
          <a:custGeom>
            <a:avLst/>
            <a:gdLst>
              <a:gd name="T0" fmla="*/ 2147483647 w 85"/>
              <a:gd name="T1" fmla="*/ 0 h 188"/>
              <a:gd name="T2" fmla="*/ 2147483647 w 85"/>
              <a:gd name="T3" fmla="*/ 2147483647 h 188"/>
              <a:gd name="T4" fmla="*/ 2147483647 w 85"/>
              <a:gd name="T5" fmla="*/ 2147483647 h 188"/>
              <a:gd name="T6" fmla="*/ 0 w 85"/>
              <a:gd name="T7" fmla="*/ 2147483647 h 188"/>
              <a:gd name="T8" fmla="*/ 0 w 85"/>
              <a:gd name="T9" fmla="*/ 2147483647 h 188"/>
              <a:gd name="T10" fmla="*/ 0 w 85"/>
              <a:gd name="T11" fmla="*/ 2147483647 h 188"/>
              <a:gd name="T12" fmla="*/ 0 w 85"/>
              <a:gd name="T13" fmla="*/ 2147483647 h 188"/>
              <a:gd name="T14" fmla="*/ 2147483647 w 85"/>
              <a:gd name="T15" fmla="*/ 2147483647 h 188"/>
              <a:gd name="T16" fmla="*/ 2147483647 w 85"/>
              <a:gd name="T17" fmla="*/ 2147483647 h 188"/>
              <a:gd name="T18" fmla="*/ 2147483647 w 85"/>
              <a:gd name="T19" fmla="*/ 2147483647 h 188"/>
              <a:gd name="T20" fmla="*/ 2147483647 w 85"/>
              <a:gd name="T21" fmla="*/ 2147483647 h 188"/>
              <a:gd name="T22" fmla="*/ 2147483647 w 85"/>
              <a:gd name="T23" fmla="*/ 0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85"/>
              <a:gd name="T37" fmla="*/ 0 h 188"/>
              <a:gd name="T38" fmla="*/ 85 w 8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85" h="188">
                <a:moveTo>
                  <a:pt x="84" y="0"/>
                </a:moveTo>
                <a:lnTo>
                  <a:pt x="85" y="168"/>
                </a:lnTo>
                <a:lnTo>
                  <a:pt x="1" y="188"/>
                </a:lnTo>
                <a:lnTo>
                  <a:pt x="0" y="96"/>
                </a:lnTo>
                <a:lnTo>
                  <a:pt x="0" y="49"/>
                </a:lnTo>
                <a:lnTo>
                  <a:pt x="0" y="34"/>
                </a:lnTo>
                <a:lnTo>
                  <a:pt x="0" y="18"/>
                </a:lnTo>
                <a:lnTo>
                  <a:pt x="2" y="9"/>
                </a:lnTo>
                <a:lnTo>
                  <a:pt x="12" y="3"/>
                </a:lnTo>
                <a:lnTo>
                  <a:pt x="20" y="1"/>
                </a:lnTo>
                <a:lnTo>
                  <a:pt x="32" y="1"/>
                </a:lnTo>
                <a:lnTo>
                  <a:pt x="84" y="0"/>
                </a:lnTo>
                <a:close/>
              </a:path>
            </a:pathLst>
          </a:custGeom>
          <a:solidFill>
            <a:srgbClr val="BDFFFF"/>
          </a:solidFill>
          <a:ln w="9525">
            <a:noFill/>
            <a:round/>
            <a:headEnd/>
            <a:tailEnd/>
          </a:ln>
        </xdr:spPr>
      </xdr:sp>
      <xdr:sp macro="" textlink="">
        <xdr:nvSpPr>
          <xdr:cNvPr id="246" name="AutoShape 209">
            <a:extLst>
              <a:ext uri="{FF2B5EF4-FFF2-40B4-BE49-F238E27FC236}">
                <a16:creationId xmlns:a16="http://schemas.microsoft.com/office/drawing/2014/main" id="{00000000-0008-0000-1000-0000F6000000}"/>
              </a:ext>
            </a:extLst>
          </xdr:cNvPr>
          <xdr:cNvSpPr>
            <a:spLocks noChangeArrowheads="1"/>
          </xdr:cNvSpPr>
        </xdr:nvSpPr>
        <xdr:spPr bwMode="auto">
          <a:xfrm>
            <a:off x="2633664" y="4107657"/>
            <a:ext cx="3167061" cy="1933700"/>
          </a:xfrm>
          <a:custGeom>
            <a:avLst/>
            <a:gdLst>
              <a:gd name="connsiteX0" fmla="*/ 0 w 3171825"/>
              <a:gd name="connsiteY0" fmla="*/ 219045 h 1952625"/>
              <a:gd name="connsiteX1" fmla="*/ 219045 w 3171825"/>
              <a:gd name="connsiteY1" fmla="*/ 0 h 1952625"/>
              <a:gd name="connsiteX2" fmla="*/ 2952780 w 3171825"/>
              <a:gd name="connsiteY2" fmla="*/ 0 h 1952625"/>
              <a:gd name="connsiteX3" fmla="*/ 3171825 w 3171825"/>
              <a:gd name="connsiteY3" fmla="*/ 219045 h 1952625"/>
              <a:gd name="connsiteX4" fmla="*/ 3171825 w 3171825"/>
              <a:gd name="connsiteY4" fmla="*/ 1733580 h 1952625"/>
              <a:gd name="connsiteX5" fmla="*/ 2952780 w 3171825"/>
              <a:gd name="connsiteY5" fmla="*/ 1952625 h 1952625"/>
              <a:gd name="connsiteX6" fmla="*/ 219045 w 3171825"/>
              <a:gd name="connsiteY6" fmla="*/ 1952625 h 1952625"/>
              <a:gd name="connsiteX7" fmla="*/ 0 w 3171825"/>
              <a:gd name="connsiteY7" fmla="*/ 1733580 h 1952625"/>
              <a:gd name="connsiteX8" fmla="*/ 0 w 3171825"/>
              <a:gd name="connsiteY8" fmla="*/ 219045 h 1952625"/>
              <a:gd name="connsiteX0" fmla="*/ 0 w 3171825"/>
              <a:gd name="connsiteY0" fmla="*/ 219045 h 1952625"/>
              <a:gd name="connsiteX1" fmla="*/ 219045 w 3171825"/>
              <a:gd name="connsiteY1" fmla="*/ 0 h 1952625"/>
              <a:gd name="connsiteX2" fmla="*/ 2952780 w 3171825"/>
              <a:gd name="connsiteY2" fmla="*/ 0 h 1952625"/>
              <a:gd name="connsiteX3" fmla="*/ 3171825 w 3171825"/>
              <a:gd name="connsiteY3" fmla="*/ 219045 h 1952625"/>
              <a:gd name="connsiteX4" fmla="*/ 3171825 w 3171825"/>
              <a:gd name="connsiteY4" fmla="*/ 1733580 h 1952625"/>
              <a:gd name="connsiteX5" fmla="*/ 2981355 w 3171825"/>
              <a:gd name="connsiteY5" fmla="*/ 1952625 h 1952625"/>
              <a:gd name="connsiteX6" fmla="*/ 219045 w 3171825"/>
              <a:gd name="connsiteY6" fmla="*/ 1952625 h 1952625"/>
              <a:gd name="connsiteX7" fmla="*/ 0 w 3171825"/>
              <a:gd name="connsiteY7" fmla="*/ 1733580 h 1952625"/>
              <a:gd name="connsiteX8" fmla="*/ 0 w 3171825"/>
              <a:gd name="connsiteY8" fmla="*/ 219045 h 1952625"/>
              <a:gd name="connsiteX0" fmla="*/ 0 w 3181350"/>
              <a:gd name="connsiteY0" fmla="*/ 219045 h 1952625"/>
              <a:gd name="connsiteX1" fmla="*/ 219045 w 3181350"/>
              <a:gd name="connsiteY1" fmla="*/ 0 h 1952625"/>
              <a:gd name="connsiteX2" fmla="*/ 2952780 w 3181350"/>
              <a:gd name="connsiteY2" fmla="*/ 0 h 1952625"/>
              <a:gd name="connsiteX3" fmla="*/ 3171825 w 3181350"/>
              <a:gd name="connsiteY3" fmla="*/ 219045 h 1952625"/>
              <a:gd name="connsiteX4" fmla="*/ 3181350 w 3181350"/>
              <a:gd name="connsiteY4" fmla="*/ 1762155 h 1952625"/>
              <a:gd name="connsiteX5" fmla="*/ 2981355 w 3181350"/>
              <a:gd name="connsiteY5" fmla="*/ 1952625 h 1952625"/>
              <a:gd name="connsiteX6" fmla="*/ 219045 w 3181350"/>
              <a:gd name="connsiteY6" fmla="*/ 1952625 h 1952625"/>
              <a:gd name="connsiteX7" fmla="*/ 0 w 3181350"/>
              <a:gd name="connsiteY7" fmla="*/ 1733580 h 1952625"/>
              <a:gd name="connsiteX8" fmla="*/ 0 w 3181350"/>
              <a:gd name="connsiteY8" fmla="*/ 219045 h 1952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181350" h="1952625">
                <a:moveTo>
                  <a:pt x="0" y="219045"/>
                </a:moveTo>
                <a:cubicBezTo>
                  <a:pt x="0" y="98070"/>
                  <a:pt x="98070" y="0"/>
                  <a:pt x="219045" y="0"/>
                </a:cubicBezTo>
                <a:lnTo>
                  <a:pt x="2952780" y="0"/>
                </a:lnTo>
                <a:cubicBezTo>
                  <a:pt x="3073755" y="0"/>
                  <a:pt x="3171825" y="98070"/>
                  <a:pt x="3171825" y="219045"/>
                </a:cubicBezTo>
                <a:lnTo>
                  <a:pt x="3181350" y="1762155"/>
                </a:lnTo>
                <a:cubicBezTo>
                  <a:pt x="3181350" y="1883130"/>
                  <a:pt x="3102330" y="1952625"/>
                  <a:pt x="2981355" y="1952625"/>
                </a:cubicBezTo>
                <a:lnTo>
                  <a:pt x="219045" y="1952625"/>
                </a:lnTo>
                <a:cubicBezTo>
                  <a:pt x="98070" y="1952625"/>
                  <a:pt x="0" y="1854555"/>
                  <a:pt x="0" y="1733580"/>
                </a:cubicBezTo>
                <a:lnTo>
                  <a:pt x="0" y="219045"/>
                </a:lnTo>
                <a:close/>
              </a:path>
            </a:pathLst>
          </a:custGeom>
          <a:gradFill rotWithShape="1">
            <a:gsLst>
              <a:gs pos="0">
                <a:srgbClr val="B3FFFF"/>
              </a:gs>
              <a:gs pos="100000">
                <a:srgbClr val="A6CAF0"/>
              </a:gs>
            </a:gsLst>
            <a:lin ang="5400000" scaled="1"/>
          </a:gradFill>
          <a:ln w="9525">
            <a:noFill/>
            <a:round/>
            <a:headEnd/>
            <a:tailEnd/>
          </a:ln>
        </xdr:spPr>
      </xdr:sp>
      <xdr:sp macro="" textlink="">
        <xdr:nvSpPr>
          <xdr:cNvPr id="247" name="Freeform 210">
            <a:extLst>
              <a:ext uri="{FF2B5EF4-FFF2-40B4-BE49-F238E27FC236}">
                <a16:creationId xmlns:a16="http://schemas.microsoft.com/office/drawing/2014/main" id="{00000000-0008-0000-1000-0000F7000000}"/>
              </a:ext>
            </a:extLst>
          </xdr:cNvPr>
          <xdr:cNvSpPr>
            <a:spLocks/>
          </xdr:cNvSpPr>
        </xdr:nvSpPr>
        <xdr:spPr bwMode="auto">
          <a:xfrm>
            <a:off x="3295650" y="1962150"/>
            <a:ext cx="2724150" cy="1038225"/>
          </a:xfrm>
          <a:custGeom>
            <a:avLst/>
            <a:gdLst>
              <a:gd name="T0" fmla="*/ 2147483647 w 286"/>
              <a:gd name="T1" fmla="*/ 2147483647 h 109"/>
              <a:gd name="T2" fmla="*/ 2147483647 w 286"/>
              <a:gd name="T3" fmla="*/ 2147483647 h 109"/>
              <a:gd name="T4" fmla="*/ 2147483647 w 286"/>
              <a:gd name="T5" fmla="*/ 2147483647 h 109"/>
              <a:gd name="T6" fmla="*/ 2147483647 w 286"/>
              <a:gd name="T7" fmla="*/ 2147483647 h 109"/>
              <a:gd name="T8" fmla="*/ 2147483647 w 286"/>
              <a:gd name="T9" fmla="*/ 2147483647 h 109"/>
              <a:gd name="T10" fmla="*/ 2147483647 w 286"/>
              <a:gd name="T11" fmla="*/ 2147483647 h 109"/>
              <a:gd name="T12" fmla="*/ 2147483647 w 286"/>
              <a:gd name="T13" fmla="*/ 2147483647 h 109"/>
              <a:gd name="T14" fmla="*/ 2147483647 w 286"/>
              <a:gd name="T15" fmla="*/ 2147483647 h 109"/>
              <a:gd name="T16" fmla="*/ 2147483647 w 286"/>
              <a:gd name="T17" fmla="*/ 2147483647 h 109"/>
              <a:gd name="T18" fmla="*/ 2147483647 w 286"/>
              <a:gd name="T19" fmla="*/ 2147483647 h 109"/>
              <a:gd name="T20" fmla="*/ 2147483647 w 286"/>
              <a:gd name="T21" fmla="*/ 2147483647 h 109"/>
              <a:gd name="T22" fmla="*/ 2147483647 w 286"/>
              <a:gd name="T23" fmla="*/ 2147483647 h 109"/>
              <a:gd name="T24" fmla="*/ 2147483647 w 286"/>
              <a:gd name="T25" fmla="*/ 0 h 109"/>
              <a:gd name="T26" fmla="*/ 2147483647 w 286"/>
              <a:gd name="T27" fmla="*/ 2147483647 h 109"/>
              <a:gd name="T28" fmla="*/ 0 w 286"/>
              <a:gd name="T29" fmla="*/ 2147483647 h 10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86"/>
              <a:gd name="T46" fmla="*/ 0 h 109"/>
              <a:gd name="T47" fmla="*/ 286 w 286"/>
              <a:gd name="T48" fmla="*/ 109 h 10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86" h="109">
                <a:moveTo>
                  <a:pt x="9" y="82"/>
                </a:moveTo>
                <a:lnTo>
                  <a:pt x="12" y="92"/>
                </a:lnTo>
                <a:lnTo>
                  <a:pt x="23" y="83"/>
                </a:lnTo>
                <a:lnTo>
                  <a:pt x="38" y="69"/>
                </a:lnTo>
                <a:lnTo>
                  <a:pt x="91" y="17"/>
                </a:lnTo>
                <a:lnTo>
                  <a:pt x="226" y="22"/>
                </a:lnTo>
                <a:lnTo>
                  <a:pt x="174" y="88"/>
                </a:lnTo>
                <a:lnTo>
                  <a:pt x="180" y="90"/>
                </a:lnTo>
                <a:lnTo>
                  <a:pt x="178" y="109"/>
                </a:lnTo>
                <a:lnTo>
                  <a:pt x="242" y="101"/>
                </a:lnTo>
                <a:lnTo>
                  <a:pt x="286" y="23"/>
                </a:lnTo>
                <a:lnTo>
                  <a:pt x="279" y="6"/>
                </a:lnTo>
                <a:lnTo>
                  <a:pt x="105" y="0"/>
                </a:lnTo>
                <a:lnTo>
                  <a:pt x="40" y="7"/>
                </a:lnTo>
                <a:lnTo>
                  <a:pt x="0" y="82"/>
                </a:lnTo>
              </a:path>
            </a:pathLst>
          </a:custGeom>
          <a:solidFill>
            <a:srgbClr val="BDFFFF"/>
          </a:solidFill>
          <a:ln w="9525">
            <a:noFill/>
            <a:round/>
            <a:headEnd/>
            <a:tailEnd/>
          </a:ln>
        </xdr:spPr>
      </xdr:sp>
      <xdr:sp macro="" textlink="">
        <xdr:nvSpPr>
          <xdr:cNvPr id="248" name="Line 211">
            <a:extLst>
              <a:ext uri="{FF2B5EF4-FFF2-40B4-BE49-F238E27FC236}">
                <a16:creationId xmlns:a16="http://schemas.microsoft.com/office/drawing/2014/main" id="{00000000-0008-0000-1000-0000F8000000}"/>
              </a:ext>
            </a:extLst>
          </xdr:cNvPr>
          <xdr:cNvSpPr>
            <a:spLocks noChangeShapeType="1"/>
          </xdr:cNvSpPr>
        </xdr:nvSpPr>
        <xdr:spPr bwMode="auto">
          <a:xfrm flipV="1">
            <a:off x="5657850" y="981075"/>
            <a:ext cx="1743075" cy="1771650"/>
          </a:xfrm>
          <a:prstGeom prst="line">
            <a:avLst/>
          </a:prstGeom>
          <a:noFill/>
          <a:ln w="28575">
            <a:solidFill>
              <a:srgbClr val="66FFFF"/>
            </a:solidFill>
            <a:round/>
            <a:headEnd/>
            <a:tailEnd/>
          </a:ln>
        </xdr:spPr>
      </xdr:sp>
      <xdr:sp macro="" textlink="">
        <xdr:nvSpPr>
          <xdr:cNvPr id="249" name="Freeform 212">
            <a:extLst>
              <a:ext uri="{FF2B5EF4-FFF2-40B4-BE49-F238E27FC236}">
                <a16:creationId xmlns:a16="http://schemas.microsoft.com/office/drawing/2014/main" id="{00000000-0008-0000-1000-0000F9000000}"/>
              </a:ext>
            </a:extLst>
          </xdr:cNvPr>
          <xdr:cNvSpPr>
            <a:spLocks/>
          </xdr:cNvSpPr>
        </xdr:nvSpPr>
        <xdr:spPr bwMode="auto">
          <a:xfrm>
            <a:off x="3429000" y="2124075"/>
            <a:ext cx="2009775" cy="1971675"/>
          </a:xfrm>
          <a:custGeom>
            <a:avLst/>
            <a:gdLst>
              <a:gd name="T0" fmla="*/ 2147483647 w 211"/>
              <a:gd name="T1" fmla="*/ 2147483647 h 207"/>
              <a:gd name="T2" fmla="*/ 2147483647 w 211"/>
              <a:gd name="T3" fmla="*/ 2147483647 h 207"/>
              <a:gd name="T4" fmla="*/ 2147483647 w 211"/>
              <a:gd name="T5" fmla="*/ 2147483647 h 207"/>
              <a:gd name="T6" fmla="*/ 2147483647 w 211"/>
              <a:gd name="T7" fmla="*/ 2147483647 h 207"/>
              <a:gd name="T8" fmla="*/ 2147483647 w 211"/>
              <a:gd name="T9" fmla="*/ 0 h 207"/>
              <a:gd name="T10" fmla="*/ 0 w 211"/>
              <a:gd name="T11" fmla="*/ 2147483647 h 207"/>
              <a:gd name="T12" fmla="*/ 2147483647 w 211"/>
              <a:gd name="T13" fmla="*/ 2147483647 h 207"/>
              <a:gd name="T14" fmla="*/ 0 60000 65536"/>
              <a:gd name="T15" fmla="*/ 0 60000 65536"/>
              <a:gd name="T16" fmla="*/ 0 60000 65536"/>
              <a:gd name="T17" fmla="*/ 0 60000 65536"/>
              <a:gd name="T18" fmla="*/ 0 60000 65536"/>
              <a:gd name="T19" fmla="*/ 0 60000 65536"/>
              <a:gd name="T20" fmla="*/ 0 60000 65536"/>
              <a:gd name="T21" fmla="*/ 0 w 211"/>
              <a:gd name="T22" fmla="*/ 0 h 207"/>
              <a:gd name="T23" fmla="*/ 211 w 211"/>
              <a:gd name="T24" fmla="*/ 207 h 20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11" h="207">
                <a:moveTo>
                  <a:pt x="2" y="207"/>
                </a:moveTo>
                <a:lnTo>
                  <a:pt x="164" y="207"/>
                </a:lnTo>
                <a:lnTo>
                  <a:pt x="162" y="71"/>
                </a:lnTo>
                <a:lnTo>
                  <a:pt x="211" y="5"/>
                </a:lnTo>
                <a:lnTo>
                  <a:pt x="77" y="0"/>
                </a:lnTo>
                <a:lnTo>
                  <a:pt x="0" y="74"/>
                </a:lnTo>
                <a:lnTo>
                  <a:pt x="2" y="207"/>
                </a:lnTo>
                <a:close/>
              </a:path>
            </a:pathLst>
          </a:custGeom>
          <a:noFill/>
          <a:ln w="19050" cmpd="sng">
            <a:solidFill>
              <a:srgbClr val="000000"/>
            </a:solidFill>
            <a:round/>
            <a:headEnd/>
            <a:tailEnd/>
          </a:ln>
        </xdr:spPr>
      </xdr:sp>
      <xdr:sp macro="" textlink="">
        <xdr:nvSpPr>
          <xdr:cNvPr id="250" name="Freeform 213">
            <a:extLst>
              <a:ext uri="{FF2B5EF4-FFF2-40B4-BE49-F238E27FC236}">
                <a16:creationId xmlns:a16="http://schemas.microsoft.com/office/drawing/2014/main" id="{00000000-0008-0000-1000-0000FA000000}"/>
              </a:ext>
            </a:extLst>
          </xdr:cNvPr>
          <xdr:cNvSpPr>
            <a:spLocks/>
          </xdr:cNvSpPr>
        </xdr:nvSpPr>
        <xdr:spPr bwMode="auto">
          <a:xfrm>
            <a:off x="3371850" y="2752725"/>
            <a:ext cx="123825" cy="47625"/>
          </a:xfrm>
          <a:custGeom>
            <a:avLst/>
            <a:gdLst>
              <a:gd name="T0" fmla="*/ 2147483647 w 13"/>
              <a:gd name="T1" fmla="*/ 2147483647 h 5"/>
              <a:gd name="T2" fmla="*/ 2147483647 w 13"/>
              <a:gd name="T3" fmla="*/ 2147483647 h 5"/>
              <a:gd name="T4" fmla="*/ 2147483647 w 13"/>
              <a:gd name="T5" fmla="*/ 0 h 5"/>
              <a:gd name="T6" fmla="*/ 0 w 13"/>
              <a:gd name="T7" fmla="*/ 0 h 5"/>
              <a:gd name="T8" fmla="*/ 2147483647 w 13"/>
              <a:gd name="T9" fmla="*/ 2147483647 h 5"/>
              <a:gd name="T10" fmla="*/ 0 60000 65536"/>
              <a:gd name="T11" fmla="*/ 0 60000 65536"/>
              <a:gd name="T12" fmla="*/ 0 60000 65536"/>
              <a:gd name="T13" fmla="*/ 0 60000 65536"/>
              <a:gd name="T14" fmla="*/ 0 60000 65536"/>
              <a:gd name="T15" fmla="*/ 0 w 13"/>
              <a:gd name="T16" fmla="*/ 0 h 5"/>
              <a:gd name="T17" fmla="*/ 13 w 13"/>
              <a:gd name="T18" fmla="*/ 5 h 5"/>
            </a:gdLst>
            <a:ahLst/>
            <a:cxnLst>
              <a:cxn ang="T10">
                <a:pos x="T0" y="T1"/>
              </a:cxn>
              <a:cxn ang="T11">
                <a:pos x="T2" y="T3"/>
              </a:cxn>
              <a:cxn ang="T12">
                <a:pos x="T4" y="T5"/>
              </a:cxn>
              <a:cxn ang="T13">
                <a:pos x="T6" y="T7"/>
              </a:cxn>
              <a:cxn ang="T14">
                <a:pos x="T8" y="T9"/>
              </a:cxn>
            </a:cxnLst>
            <a:rect l="T15" t="T16" r="T17" b="T18"/>
            <a:pathLst>
              <a:path w="13" h="5">
                <a:moveTo>
                  <a:pt x="2" y="5"/>
                </a:moveTo>
                <a:lnTo>
                  <a:pt x="10" y="5"/>
                </a:lnTo>
                <a:lnTo>
                  <a:pt x="13" y="0"/>
                </a:lnTo>
                <a:lnTo>
                  <a:pt x="0" y="0"/>
                </a:lnTo>
                <a:lnTo>
                  <a:pt x="2" y="5"/>
                </a:lnTo>
                <a:close/>
              </a:path>
            </a:pathLst>
          </a:custGeom>
          <a:solidFill>
            <a:srgbClr val="66FFCC"/>
          </a:solidFill>
          <a:ln w="9525">
            <a:noFill/>
            <a:round/>
            <a:headEnd/>
            <a:tailEnd/>
          </a:ln>
        </xdr:spPr>
      </xdr:sp>
      <xdr:sp macro="" textlink="">
        <xdr:nvSpPr>
          <xdr:cNvPr id="251" name="Freeform 214">
            <a:extLst>
              <a:ext uri="{FF2B5EF4-FFF2-40B4-BE49-F238E27FC236}">
                <a16:creationId xmlns:a16="http://schemas.microsoft.com/office/drawing/2014/main" id="{00000000-0008-0000-1000-0000FB000000}"/>
              </a:ext>
            </a:extLst>
          </xdr:cNvPr>
          <xdr:cNvSpPr>
            <a:spLocks/>
          </xdr:cNvSpPr>
        </xdr:nvSpPr>
        <xdr:spPr bwMode="auto">
          <a:xfrm>
            <a:off x="3352800" y="2752725"/>
            <a:ext cx="152400" cy="47625"/>
          </a:xfrm>
          <a:custGeom>
            <a:avLst/>
            <a:gdLst>
              <a:gd name="T0" fmla="*/ 2147483647 w 16"/>
              <a:gd name="T1" fmla="*/ 2147483647 h 5"/>
              <a:gd name="T2" fmla="*/ 2147483647 w 16"/>
              <a:gd name="T3" fmla="*/ 2147483647 h 5"/>
              <a:gd name="T4" fmla="*/ 2147483647 w 16"/>
              <a:gd name="T5" fmla="*/ 0 h 5"/>
              <a:gd name="T6" fmla="*/ 0 w 16"/>
              <a:gd name="T7" fmla="*/ 0 h 5"/>
              <a:gd name="T8" fmla="*/ 0 60000 65536"/>
              <a:gd name="T9" fmla="*/ 0 60000 65536"/>
              <a:gd name="T10" fmla="*/ 0 60000 65536"/>
              <a:gd name="T11" fmla="*/ 0 60000 65536"/>
              <a:gd name="T12" fmla="*/ 0 w 16"/>
              <a:gd name="T13" fmla="*/ 0 h 5"/>
              <a:gd name="T14" fmla="*/ 16 w 16"/>
              <a:gd name="T15" fmla="*/ 5 h 5"/>
            </a:gdLst>
            <a:ahLst/>
            <a:cxnLst>
              <a:cxn ang="T8">
                <a:pos x="T0" y="T1"/>
              </a:cxn>
              <a:cxn ang="T9">
                <a:pos x="T2" y="T3"/>
              </a:cxn>
              <a:cxn ang="T10">
                <a:pos x="T4" y="T5"/>
              </a:cxn>
              <a:cxn ang="T11">
                <a:pos x="T6" y="T7"/>
              </a:cxn>
            </a:cxnLst>
            <a:rect l="T12" t="T13" r="T14" b="T15"/>
            <a:pathLst>
              <a:path w="16" h="5">
                <a:moveTo>
                  <a:pt x="3" y="5"/>
                </a:moveTo>
                <a:lnTo>
                  <a:pt x="12" y="5"/>
                </a:lnTo>
                <a:lnTo>
                  <a:pt x="16" y="0"/>
                </a:lnTo>
                <a:lnTo>
                  <a:pt x="0" y="0"/>
                </a:lnTo>
              </a:path>
            </a:pathLst>
          </a:custGeom>
          <a:noFill/>
          <a:ln w="9525">
            <a:solidFill>
              <a:srgbClr val="000000"/>
            </a:solidFill>
            <a:round/>
            <a:headEnd/>
            <a:tailEnd/>
          </a:ln>
        </xdr:spPr>
      </xdr:sp>
      <xdr:sp macro="" textlink="">
        <xdr:nvSpPr>
          <xdr:cNvPr id="252" name="Line 215">
            <a:extLst>
              <a:ext uri="{FF2B5EF4-FFF2-40B4-BE49-F238E27FC236}">
                <a16:creationId xmlns:a16="http://schemas.microsoft.com/office/drawing/2014/main" id="{00000000-0008-0000-1000-0000FC000000}"/>
              </a:ext>
            </a:extLst>
          </xdr:cNvPr>
          <xdr:cNvSpPr>
            <a:spLocks noChangeShapeType="1"/>
          </xdr:cNvSpPr>
        </xdr:nvSpPr>
        <xdr:spPr bwMode="auto">
          <a:xfrm flipH="1">
            <a:off x="3438525" y="2705100"/>
            <a:ext cx="123825" cy="114300"/>
          </a:xfrm>
          <a:prstGeom prst="line">
            <a:avLst/>
          </a:prstGeom>
          <a:noFill/>
          <a:ln w="12700">
            <a:solidFill>
              <a:srgbClr val="000000"/>
            </a:solidFill>
            <a:round/>
            <a:headEnd/>
            <a:tailEnd/>
          </a:ln>
        </xdr:spPr>
      </xdr:sp>
      <xdr:sp macro="" textlink="">
        <xdr:nvSpPr>
          <xdr:cNvPr id="253" name="Freeform 216">
            <a:extLst>
              <a:ext uri="{FF2B5EF4-FFF2-40B4-BE49-F238E27FC236}">
                <a16:creationId xmlns:a16="http://schemas.microsoft.com/office/drawing/2014/main" id="{00000000-0008-0000-1000-0000FD000000}"/>
              </a:ext>
            </a:extLst>
          </xdr:cNvPr>
          <xdr:cNvSpPr>
            <a:spLocks/>
          </xdr:cNvSpPr>
        </xdr:nvSpPr>
        <xdr:spPr bwMode="auto">
          <a:xfrm>
            <a:off x="4981575" y="2752725"/>
            <a:ext cx="714375" cy="66675"/>
          </a:xfrm>
          <a:custGeom>
            <a:avLst/>
            <a:gdLst>
              <a:gd name="T0" fmla="*/ 0 w 75"/>
              <a:gd name="T1" fmla="*/ 2147483647 h 7"/>
              <a:gd name="T2" fmla="*/ 2147483647 w 75"/>
              <a:gd name="T3" fmla="*/ 2147483647 h 7"/>
              <a:gd name="T4" fmla="*/ 2147483647 w 75"/>
              <a:gd name="T5" fmla="*/ 2147483647 h 7"/>
              <a:gd name="T6" fmla="*/ 2147483647 w 75"/>
              <a:gd name="T7" fmla="*/ 2147483647 h 7"/>
              <a:gd name="T8" fmla="*/ 2147483647 w 75"/>
              <a:gd name="T9" fmla="*/ 2147483647 h 7"/>
              <a:gd name="T10" fmla="*/ 2147483647 w 75"/>
              <a:gd name="T11" fmla="*/ 2147483647 h 7"/>
              <a:gd name="T12" fmla="*/ 2147483647 w 75"/>
              <a:gd name="T13" fmla="*/ 0 h 7"/>
              <a:gd name="T14" fmla="*/ 2147483647 w 75"/>
              <a:gd name="T15" fmla="*/ 0 h 7"/>
              <a:gd name="T16" fmla="*/ 2147483647 w 75"/>
              <a:gd name="T17" fmla="*/ 0 h 7"/>
              <a:gd name="T18" fmla="*/ 0 w 75"/>
              <a:gd name="T19" fmla="*/ 2147483647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75"/>
              <a:gd name="T31" fmla="*/ 0 h 7"/>
              <a:gd name="T32" fmla="*/ 75 w 75"/>
              <a:gd name="T33" fmla="*/ 7 h 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75" h="7">
                <a:moveTo>
                  <a:pt x="0" y="5"/>
                </a:moveTo>
                <a:lnTo>
                  <a:pt x="62" y="5"/>
                </a:lnTo>
                <a:lnTo>
                  <a:pt x="66" y="6"/>
                </a:lnTo>
                <a:lnTo>
                  <a:pt x="69" y="6"/>
                </a:lnTo>
                <a:lnTo>
                  <a:pt x="72" y="7"/>
                </a:lnTo>
                <a:lnTo>
                  <a:pt x="75" y="1"/>
                </a:lnTo>
                <a:lnTo>
                  <a:pt x="70" y="0"/>
                </a:lnTo>
                <a:lnTo>
                  <a:pt x="62" y="0"/>
                </a:lnTo>
                <a:lnTo>
                  <a:pt x="3" y="0"/>
                </a:lnTo>
                <a:lnTo>
                  <a:pt x="0" y="5"/>
                </a:lnTo>
                <a:close/>
              </a:path>
            </a:pathLst>
          </a:custGeom>
          <a:solidFill>
            <a:srgbClr val="66FFCC"/>
          </a:solidFill>
          <a:ln w="9525">
            <a:noFill/>
            <a:round/>
            <a:headEnd/>
            <a:tailEnd/>
          </a:ln>
        </xdr:spPr>
      </xdr:sp>
      <xdr:sp macro="" textlink="">
        <xdr:nvSpPr>
          <xdr:cNvPr id="254" name="Freeform 217">
            <a:extLst>
              <a:ext uri="{FF2B5EF4-FFF2-40B4-BE49-F238E27FC236}">
                <a16:creationId xmlns:a16="http://schemas.microsoft.com/office/drawing/2014/main" id="{00000000-0008-0000-1000-0000FE000000}"/>
              </a:ext>
            </a:extLst>
          </xdr:cNvPr>
          <xdr:cNvSpPr>
            <a:spLocks/>
          </xdr:cNvSpPr>
        </xdr:nvSpPr>
        <xdr:spPr bwMode="auto">
          <a:xfrm>
            <a:off x="4981575" y="2800350"/>
            <a:ext cx="723900" cy="47625"/>
          </a:xfrm>
          <a:custGeom>
            <a:avLst/>
            <a:gdLst>
              <a:gd name="T0" fmla="*/ 0 w 76"/>
              <a:gd name="T1" fmla="*/ 0 h 5"/>
              <a:gd name="T2" fmla="*/ 2147483647 w 76"/>
              <a:gd name="T3" fmla="*/ 0 h 5"/>
              <a:gd name="T4" fmla="*/ 2147483647 w 76"/>
              <a:gd name="T5" fmla="*/ 2147483647 h 5"/>
              <a:gd name="T6" fmla="*/ 2147483647 w 76"/>
              <a:gd name="T7" fmla="*/ 2147483647 h 5"/>
              <a:gd name="T8" fmla="*/ 2147483647 w 76"/>
              <a:gd name="T9" fmla="*/ 2147483647 h 5"/>
              <a:gd name="T10" fmla="*/ 0 60000 65536"/>
              <a:gd name="T11" fmla="*/ 0 60000 65536"/>
              <a:gd name="T12" fmla="*/ 0 60000 65536"/>
              <a:gd name="T13" fmla="*/ 0 60000 65536"/>
              <a:gd name="T14" fmla="*/ 0 60000 65536"/>
              <a:gd name="T15" fmla="*/ 0 w 76"/>
              <a:gd name="T16" fmla="*/ 0 h 5"/>
              <a:gd name="T17" fmla="*/ 76 w 76"/>
              <a:gd name="T18" fmla="*/ 5 h 5"/>
            </a:gdLst>
            <a:ahLst/>
            <a:cxnLst>
              <a:cxn ang="T10">
                <a:pos x="T0" y="T1"/>
              </a:cxn>
              <a:cxn ang="T11">
                <a:pos x="T2" y="T3"/>
              </a:cxn>
              <a:cxn ang="T12">
                <a:pos x="T4" y="T5"/>
              </a:cxn>
              <a:cxn ang="T13">
                <a:pos x="T6" y="T7"/>
              </a:cxn>
              <a:cxn ang="T14">
                <a:pos x="T8" y="T9"/>
              </a:cxn>
            </a:cxnLst>
            <a:rect l="T15" t="T16" r="T17" b="T18"/>
            <a:pathLst>
              <a:path w="76" h="5">
                <a:moveTo>
                  <a:pt x="0" y="0"/>
                </a:moveTo>
                <a:lnTo>
                  <a:pt x="66" y="0"/>
                </a:lnTo>
                <a:lnTo>
                  <a:pt x="70" y="1"/>
                </a:lnTo>
                <a:lnTo>
                  <a:pt x="73" y="3"/>
                </a:lnTo>
                <a:lnTo>
                  <a:pt x="76" y="5"/>
                </a:lnTo>
              </a:path>
            </a:pathLst>
          </a:custGeom>
          <a:noFill/>
          <a:ln w="9525">
            <a:solidFill>
              <a:srgbClr val="000000"/>
            </a:solidFill>
            <a:round/>
            <a:headEnd/>
            <a:tailEnd/>
          </a:ln>
        </xdr:spPr>
      </xdr:sp>
      <xdr:sp macro="" textlink="">
        <xdr:nvSpPr>
          <xdr:cNvPr id="255" name="Freeform 218">
            <a:extLst>
              <a:ext uri="{FF2B5EF4-FFF2-40B4-BE49-F238E27FC236}">
                <a16:creationId xmlns:a16="http://schemas.microsoft.com/office/drawing/2014/main" id="{00000000-0008-0000-1000-0000FF000000}"/>
              </a:ext>
            </a:extLst>
          </xdr:cNvPr>
          <xdr:cNvSpPr>
            <a:spLocks/>
          </xdr:cNvSpPr>
        </xdr:nvSpPr>
        <xdr:spPr bwMode="auto">
          <a:xfrm>
            <a:off x="4981575" y="2752725"/>
            <a:ext cx="742950" cy="47625"/>
          </a:xfrm>
          <a:custGeom>
            <a:avLst/>
            <a:gdLst>
              <a:gd name="T0" fmla="*/ 0 w 78"/>
              <a:gd name="T1" fmla="*/ 2147483647 h 5"/>
              <a:gd name="T2" fmla="*/ 2147483647 w 78"/>
              <a:gd name="T3" fmla="*/ 0 h 5"/>
              <a:gd name="T4" fmla="*/ 2147483647 w 78"/>
              <a:gd name="T5" fmla="*/ 0 h 5"/>
              <a:gd name="T6" fmla="*/ 2147483647 w 78"/>
              <a:gd name="T7" fmla="*/ 0 h 5"/>
              <a:gd name="T8" fmla="*/ 2147483647 w 78"/>
              <a:gd name="T9" fmla="*/ 2147483647 h 5"/>
              <a:gd name="T10" fmla="*/ 2147483647 w 78"/>
              <a:gd name="T11" fmla="*/ 2147483647 h 5"/>
              <a:gd name="T12" fmla="*/ 0 60000 65536"/>
              <a:gd name="T13" fmla="*/ 0 60000 65536"/>
              <a:gd name="T14" fmla="*/ 0 60000 65536"/>
              <a:gd name="T15" fmla="*/ 0 60000 65536"/>
              <a:gd name="T16" fmla="*/ 0 60000 65536"/>
              <a:gd name="T17" fmla="*/ 0 60000 65536"/>
              <a:gd name="T18" fmla="*/ 0 w 78"/>
              <a:gd name="T19" fmla="*/ 0 h 5"/>
              <a:gd name="T20" fmla="*/ 78 w 78"/>
              <a:gd name="T21" fmla="*/ 5 h 5"/>
            </a:gdLst>
            <a:ahLst/>
            <a:cxnLst>
              <a:cxn ang="T12">
                <a:pos x="T0" y="T1"/>
              </a:cxn>
              <a:cxn ang="T13">
                <a:pos x="T2" y="T3"/>
              </a:cxn>
              <a:cxn ang="T14">
                <a:pos x="T4" y="T5"/>
              </a:cxn>
              <a:cxn ang="T15">
                <a:pos x="T6" y="T7"/>
              </a:cxn>
              <a:cxn ang="T16">
                <a:pos x="T8" y="T9"/>
              </a:cxn>
              <a:cxn ang="T17">
                <a:pos x="T10" y="T11"/>
              </a:cxn>
            </a:cxnLst>
            <a:rect l="T18" t="T19" r="T20" b="T21"/>
            <a:pathLst>
              <a:path w="78" h="5">
                <a:moveTo>
                  <a:pt x="0" y="5"/>
                </a:moveTo>
                <a:lnTo>
                  <a:pt x="4" y="0"/>
                </a:lnTo>
                <a:lnTo>
                  <a:pt x="66" y="0"/>
                </a:lnTo>
                <a:lnTo>
                  <a:pt x="70" y="0"/>
                </a:lnTo>
                <a:lnTo>
                  <a:pt x="74" y="1"/>
                </a:lnTo>
                <a:lnTo>
                  <a:pt x="78" y="2"/>
                </a:lnTo>
              </a:path>
            </a:pathLst>
          </a:custGeom>
          <a:noFill/>
          <a:ln w="9525">
            <a:solidFill>
              <a:srgbClr val="000000"/>
            </a:solidFill>
            <a:round/>
            <a:headEnd/>
            <a:tailEnd/>
          </a:ln>
        </xdr:spPr>
      </xdr:sp>
      <xdr:sp macro="" textlink="">
        <xdr:nvSpPr>
          <xdr:cNvPr id="256" name="Line 219">
            <a:extLst>
              <a:ext uri="{FF2B5EF4-FFF2-40B4-BE49-F238E27FC236}">
                <a16:creationId xmlns:a16="http://schemas.microsoft.com/office/drawing/2014/main" id="{00000000-0008-0000-1000-000000010000}"/>
              </a:ext>
            </a:extLst>
          </xdr:cNvPr>
          <xdr:cNvSpPr>
            <a:spLocks noChangeShapeType="1"/>
          </xdr:cNvSpPr>
        </xdr:nvSpPr>
        <xdr:spPr bwMode="auto">
          <a:xfrm>
            <a:off x="5019675" y="2743200"/>
            <a:ext cx="0" cy="0"/>
          </a:xfrm>
          <a:prstGeom prst="line">
            <a:avLst/>
          </a:prstGeom>
          <a:noFill/>
          <a:ln w="9525">
            <a:solidFill>
              <a:srgbClr val="000000"/>
            </a:solidFill>
            <a:round/>
            <a:headEnd/>
            <a:tailEnd/>
          </a:ln>
        </xdr:spPr>
      </xdr:sp>
      <xdr:sp macro="" textlink="">
        <xdr:nvSpPr>
          <xdr:cNvPr id="257" name="Line 221">
            <a:extLst>
              <a:ext uri="{FF2B5EF4-FFF2-40B4-BE49-F238E27FC236}">
                <a16:creationId xmlns:a16="http://schemas.microsoft.com/office/drawing/2014/main" id="{00000000-0008-0000-1000-000001010000}"/>
              </a:ext>
            </a:extLst>
          </xdr:cNvPr>
          <xdr:cNvSpPr>
            <a:spLocks noChangeShapeType="1"/>
          </xdr:cNvSpPr>
        </xdr:nvSpPr>
        <xdr:spPr bwMode="auto">
          <a:xfrm flipH="1">
            <a:off x="5772147" y="4128337"/>
            <a:ext cx="1853868" cy="1881939"/>
          </a:xfrm>
          <a:prstGeom prst="line">
            <a:avLst/>
          </a:prstGeom>
          <a:noFill/>
          <a:ln w="19050">
            <a:solidFill>
              <a:srgbClr val="000000"/>
            </a:solidFill>
            <a:round/>
            <a:headEnd/>
            <a:tailEnd/>
          </a:ln>
        </xdr:spPr>
      </xdr:sp>
      <xdr:grpSp>
        <xdr:nvGrpSpPr>
          <xdr:cNvPr id="258" name="Group 222">
            <a:extLst>
              <a:ext uri="{FF2B5EF4-FFF2-40B4-BE49-F238E27FC236}">
                <a16:creationId xmlns:a16="http://schemas.microsoft.com/office/drawing/2014/main" id="{00000000-0008-0000-1000-000002010000}"/>
              </a:ext>
            </a:extLst>
          </xdr:cNvPr>
          <xdr:cNvGrpSpPr>
            <a:grpSpLocks/>
          </xdr:cNvGrpSpPr>
        </xdr:nvGrpSpPr>
        <xdr:grpSpPr bwMode="auto">
          <a:xfrm>
            <a:off x="2686050" y="3476625"/>
            <a:ext cx="666750" cy="552450"/>
            <a:chOff x="875" y="709"/>
            <a:chExt cx="70" cy="58"/>
          </a:xfrm>
        </xdr:grpSpPr>
        <xdr:grpSp>
          <xdr:nvGrpSpPr>
            <xdr:cNvPr id="322" name="Group 223">
              <a:extLst>
                <a:ext uri="{FF2B5EF4-FFF2-40B4-BE49-F238E27FC236}">
                  <a16:creationId xmlns:a16="http://schemas.microsoft.com/office/drawing/2014/main" id="{00000000-0008-0000-1000-000042010000}"/>
                </a:ext>
              </a:extLst>
            </xdr:cNvPr>
            <xdr:cNvGrpSpPr>
              <a:grpSpLocks/>
            </xdr:cNvGrpSpPr>
          </xdr:nvGrpSpPr>
          <xdr:grpSpPr bwMode="auto">
            <a:xfrm>
              <a:off x="875" y="709"/>
              <a:ext cx="70" cy="58"/>
              <a:chOff x="875" y="709"/>
              <a:chExt cx="70" cy="58"/>
            </a:xfrm>
          </xdr:grpSpPr>
          <xdr:sp macro="" textlink="">
            <xdr:nvSpPr>
              <xdr:cNvPr id="326" name="AutoShape 224">
                <a:extLst>
                  <a:ext uri="{FF2B5EF4-FFF2-40B4-BE49-F238E27FC236}">
                    <a16:creationId xmlns:a16="http://schemas.microsoft.com/office/drawing/2014/main" id="{00000000-0008-0000-1000-00004601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27" name="AutoShape 225">
                <a:extLst>
                  <a:ext uri="{FF2B5EF4-FFF2-40B4-BE49-F238E27FC236}">
                    <a16:creationId xmlns:a16="http://schemas.microsoft.com/office/drawing/2014/main" id="{00000000-0008-0000-1000-00004701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28" name="Oval 226">
                <a:extLst>
                  <a:ext uri="{FF2B5EF4-FFF2-40B4-BE49-F238E27FC236}">
                    <a16:creationId xmlns:a16="http://schemas.microsoft.com/office/drawing/2014/main" id="{00000000-0008-0000-1000-00004801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329" name="Oval 227">
                <a:extLst>
                  <a:ext uri="{FF2B5EF4-FFF2-40B4-BE49-F238E27FC236}">
                    <a16:creationId xmlns:a16="http://schemas.microsoft.com/office/drawing/2014/main" id="{00000000-0008-0000-1000-00004901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330" name="Oval 228">
                <a:extLst>
                  <a:ext uri="{FF2B5EF4-FFF2-40B4-BE49-F238E27FC236}">
                    <a16:creationId xmlns:a16="http://schemas.microsoft.com/office/drawing/2014/main" id="{00000000-0008-0000-1000-00004A01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331" name="Oval 229">
                <a:extLst>
                  <a:ext uri="{FF2B5EF4-FFF2-40B4-BE49-F238E27FC236}">
                    <a16:creationId xmlns:a16="http://schemas.microsoft.com/office/drawing/2014/main" id="{00000000-0008-0000-1000-00004B01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332" name="Freeform 230">
                <a:extLst>
                  <a:ext uri="{FF2B5EF4-FFF2-40B4-BE49-F238E27FC236}">
                    <a16:creationId xmlns:a16="http://schemas.microsoft.com/office/drawing/2014/main" id="{00000000-0008-0000-1000-00004C01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333" name="Freeform 231">
                <a:extLst>
                  <a:ext uri="{FF2B5EF4-FFF2-40B4-BE49-F238E27FC236}">
                    <a16:creationId xmlns:a16="http://schemas.microsoft.com/office/drawing/2014/main" id="{00000000-0008-0000-1000-00004D01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grpSp>
          <xdr:nvGrpSpPr>
            <xdr:cNvPr id="323" name="Group 232">
              <a:extLst>
                <a:ext uri="{FF2B5EF4-FFF2-40B4-BE49-F238E27FC236}">
                  <a16:creationId xmlns:a16="http://schemas.microsoft.com/office/drawing/2014/main" id="{00000000-0008-0000-1000-000043010000}"/>
                </a:ext>
              </a:extLst>
            </xdr:cNvPr>
            <xdr:cNvGrpSpPr>
              <a:grpSpLocks/>
            </xdr:cNvGrpSpPr>
          </xdr:nvGrpSpPr>
          <xdr:grpSpPr bwMode="auto">
            <a:xfrm>
              <a:off x="889" y="735"/>
              <a:ext cx="24" cy="24"/>
              <a:chOff x="789" y="844"/>
              <a:chExt cx="24" cy="24"/>
            </a:xfrm>
          </xdr:grpSpPr>
          <xdr:sp macro="" textlink="">
            <xdr:nvSpPr>
              <xdr:cNvPr id="324" name="Line 233">
                <a:extLst>
                  <a:ext uri="{FF2B5EF4-FFF2-40B4-BE49-F238E27FC236}">
                    <a16:creationId xmlns:a16="http://schemas.microsoft.com/office/drawing/2014/main" id="{00000000-0008-0000-1000-000044010000}"/>
                  </a:ext>
                </a:extLst>
              </xdr:cNvPr>
              <xdr:cNvSpPr>
                <a:spLocks noChangeShapeType="1"/>
              </xdr:cNvSpPr>
            </xdr:nvSpPr>
            <xdr:spPr bwMode="auto">
              <a:xfrm>
                <a:off x="789" y="857"/>
                <a:ext cx="24" cy="0"/>
              </a:xfrm>
              <a:prstGeom prst="line">
                <a:avLst/>
              </a:prstGeom>
              <a:noFill/>
              <a:ln w="28575">
                <a:solidFill>
                  <a:srgbClr val="000000"/>
                </a:solidFill>
                <a:round/>
                <a:headEnd/>
                <a:tailEnd/>
              </a:ln>
            </xdr:spPr>
          </xdr:sp>
          <xdr:sp macro="" textlink="">
            <xdr:nvSpPr>
              <xdr:cNvPr id="325" name="Line 234">
                <a:extLst>
                  <a:ext uri="{FF2B5EF4-FFF2-40B4-BE49-F238E27FC236}">
                    <a16:creationId xmlns:a16="http://schemas.microsoft.com/office/drawing/2014/main" id="{00000000-0008-0000-1000-000045010000}"/>
                  </a:ext>
                </a:extLst>
              </xdr:cNvPr>
              <xdr:cNvSpPr>
                <a:spLocks noChangeShapeType="1"/>
              </xdr:cNvSpPr>
            </xdr:nvSpPr>
            <xdr:spPr bwMode="auto">
              <a:xfrm rot="-5400000">
                <a:off x="790" y="856"/>
                <a:ext cx="24" cy="0"/>
              </a:xfrm>
              <a:prstGeom prst="line">
                <a:avLst/>
              </a:prstGeom>
              <a:noFill/>
              <a:ln w="28575">
                <a:solidFill>
                  <a:srgbClr val="000000"/>
                </a:solidFill>
                <a:round/>
                <a:headEnd/>
                <a:tailEnd/>
              </a:ln>
            </xdr:spPr>
          </xdr:sp>
        </xdr:grpSp>
      </xdr:grpSp>
      <xdr:grpSp>
        <xdr:nvGrpSpPr>
          <xdr:cNvPr id="259" name="Group 235">
            <a:extLst>
              <a:ext uri="{FF2B5EF4-FFF2-40B4-BE49-F238E27FC236}">
                <a16:creationId xmlns:a16="http://schemas.microsoft.com/office/drawing/2014/main" id="{00000000-0008-0000-1000-000003010000}"/>
              </a:ext>
            </a:extLst>
          </xdr:cNvPr>
          <xdr:cNvGrpSpPr>
            <a:grpSpLocks/>
          </xdr:cNvGrpSpPr>
        </xdr:nvGrpSpPr>
        <xdr:grpSpPr bwMode="auto">
          <a:xfrm>
            <a:off x="5095971" y="3476625"/>
            <a:ext cx="666750" cy="552450"/>
            <a:chOff x="1016" y="782"/>
            <a:chExt cx="70" cy="58"/>
          </a:xfrm>
        </xdr:grpSpPr>
        <xdr:grpSp>
          <xdr:nvGrpSpPr>
            <xdr:cNvPr id="312" name="Group 236">
              <a:extLst>
                <a:ext uri="{FF2B5EF4-FFF2-40B4-BE49-F238E27FC236}">
                  <a16:creationId xmlns:a16="http://schemas.microsoft.com/office/drawing/2014/main" id="{00000000-0008-0000-1000-000038010000}"/>
                </a:ext>
              </a:extLst>
            </xdr:cNvPr>
            <xdr:cNvGrpSpPr>
              <a:grpSpLocks/>
            </xdr:cNvGrpSpPr>
          </xdr:nvGrpSpPr>
          <xdr:grpSpPr bwMode="auto">
            <a:xfrm>
              <a:off x="1016" y="782"/>
              <a:ext cx="70" cy="58"/>
              <a:chOff x="875" y="709"/>
              <a:chExt cx="70" cy="58"/>
            </a:xfrm>
          </xdr:grpSpPr>
          <xdr:sp macro="" textlink="">
            <xdr:nvSpPr>
              <xdr:cNvPr id="314" name="AutoShape 237">
                <a:extLst>
                  <a:ext uri="{FF2B5EF4-FFF2-40B4-BE49-F238E27FC236}">
                    <a16:creationId xmlns:a16="http://schemas.microsoft.com/office/drawing/2014/main" id="{00000000-0008-0000-1000-00003A01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15" name="AutoShape 238">
                <a:extLst>
                  <a:ext uri="{FF2B5EF4-FFF2-40B4-BE49-F238E27FC236}">
                    <a16:creationId xmlns:a16="http://schemas.microsoft.com/office/drawing/2014/main" id="{00000000-0008-0000-1000-00003B01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16" name="Oval 239">
                <a:extLst>
                  <a:ext uri="{FF2B5EF4-FFF2-40B4-BE49-F238E27FC236}">
                    <a16:creationId xmlns:a16="http://schemas.microsoft.com/office/drawing/2014/main" id="{00000000-0008-0000-1000-00003C01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317" name="Oval 240">
                <a:extLst>
                  <a:ext uri="{FF2B5EF4-FFF2-40B4-BE49-F238E27FC236}">
                    <a16:creationId xmlns:a16="http://schemas.microsoft.com/office/drawing/2014/main" id="{00000000-0008-0000-1000-00003D01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318" name="Oval 241">
                <a:extLst>
                  <a:ext uri="{FF2B5EF4-FFF2-40B4-BE49-F238E27FC236}">
                    <a16:creationId xmlns:a16="http://schemas.microsoft.com/office/drawing/2014/main" id="{00000000-0008-0000-1000-00003E01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319" name="Oval 242">
                <a:extLst>
                  <a:ext uri="{FF2B5EF4-FFF2-40B4-BE49-F238E27FC236}">
                    <a16:creationId xmlns:a16="http://schemas.microsoft.com/office/drawing/2014/main" id="{00000000-0008-0000-1000-00003F01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320" name="Freeform 243">
                <a:extLst>
                  <a:ext uri="{FF2B5EF4-FFF2-40B4-BE49-F238E27FC236}">
                    <a16:creationId xmlns:a16="http://schemas.microsoft.com/office/drawing/2014/main" id="{00000000-0008-0000-1000-00004001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321" name="Freeform 244">
                <a:extLst>
                  <a:ext uri="{FF2B5EF4-FFF2-40B4-BE49-F238E27FC236}">
                    <a16:creationId xmlns:a16="http://schemas.microsoft.com/office/drawing/2014/main" id="{00000000-0008-0000-1000-00004101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sp macro="" textlink="">
          <xdr:nvSpPr>
            <xdr:cNvPr id="313" name="Line 245">
              <a:extLst>
                <a:ext uri="{FF2B5EF4-FFF2-40B4-BE49-F238E27FC236}">
                  <a16:creationId xmlns:a16="http://schemas.microsoft.com/office/drawing/2014/main" id="{00000000-0008-0000-1000-000039010000}"/>
                </a:ext>
              </a:extLst>
            </xdr:cNvPr>
            <xdr:cNvSpPr>
              <a:spLocks noChangeShapeType="1"/>
            </xdr:cNvSpPr>
          </xdr:nvSpPr>
          <xdr:spPr bwMode="auto">
            <a:xfrm>
              <a:off x="1030" y="819"/>
              <a:ext cx="24" cy="0"/>
            </a:xfrm>
            <a:prstGeom prst="line">
              <a:avLst/>
            </a:prstGeom>
            <a:noFill/>
            <a:ln w="28575">
              <a:solidFill>
                <a:srgbClr val="000000"/>
              </a:solidFill>
              <a:round/>
              <a:headEnd/>
              <a:tailEnd/>
            </a:ln>
          </xdr:spPr>
        </xdr:sp>
      </xdr:grpSp>
      <xdr:sp macro="" textlink="">
        <xdr:nvSpPr>
          <xdr:cNvPr id="260" name="AutoShape 246">
            <a:extLst>
              <a:ext uri="{FF2B5EF4-FFF2-40B4-BE49-F238E27FC236}">
                <a16:creationId xmlns:a16="http://schemas.microsoft.com/office/drawing/2014/main" id="{00000000-0008-0000-1000-000004010000}"/>
              </a:ext>
            </a:extLst>
          </xdr:cNvPr>
          <xdr:cNvSpPr>
            <a:spLocks/>
          </xdr:cNvSpPr>
        </xdr:nvSpPr>
        <xdr:spPr bwMode="auto">
          <a:xfrm>
            <a:off x="0" y="95251"/>
            <a:ext cx="5600700" cy="733424"/>
          </a:xfrm>
          <a:prstGeom prst="callout2">
            <a:avLst>
              <a:gd name="adj1" fmla="val 8634"/>
              <a:gd name="adj2" fmla="val 102491"/>
              <a:gd name="adj3" fmla="val 8634"/>
              <a:gd name="adj4" fmla="val 115264"/>
              <a:gd name="adj5" fmla="val 275706"/>
              <a:gd name="adj6" fmla="val 88945"/>
            </a:avLst>
          </a:prstGeom>
          <a:solidFill>
            <a:srgbClr val="FFFFFF"/>
          </a:solidFill>
          <a:ln w="9525">
            <a:solidFill>
              <a:srgbClr val="000000"/>
            </a:solidFill>
            <a:miter lim="800000"/>
            <a:headEnd/>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Heat Transfer Surfaces on Top and Bottom of Container in Contact with Cell Conductors</a:t>
            </a:r>
          </a:p>
        </xdr:txBody>
      </xdr:sp>
      <xdr:sp macro="" textlink="">
        <xdr:nvSpPr>
          <xdr:cNvPr id="261" name="AutoShape 247">
            <a:extLst>
              <a:ext uri="{FF2B5EF4-FFF2-40B4-BE49-F238E27FC236}">
                <a16:creationId xmlns:a16="http://schemas.microsoft.com/office/drawing/2014/main" id="{00000000-0008-0000-1000-000005010000}"/>
              </a:ext>
            </a:extLst>
          </xdr:cNvPr>
          <xdr:cNvSpPr>
            <a:spLocks/>
          </xdr:cNvSpPr>
        </xdr:nvSpPr>
        <xdr:spPr bwMode="auto">
          <a:xfrm>
            <a:off x="628745" y="3305175"/>
            <a:ext cx="1400175" cy="723900"/>
          </a:xfrm>
          <a:prstGeom prst="callout2">
            <a:avLst>
              <a:gd name="adj1" fmla="val 15792"/>
              <a:gd name="adj2" fmla="val 104278"/>
              <a:gd name="adj3" fmla="val 15792"/>
              <a:gd name="adj4" fmla="val 117111"/>
              <a:gd name="adj5" fmla="val 47367"/>
              <a:gd name="adj6" fmla="val 154933"/>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Module Terminal </a:t>
            </a:r>
          </a:p>
        </xdr:txBody>
      </xdr:sp>
      <xdr:sp macro="" textlink="">
        <xdr:nvSpPr>
          <xdr:cNvPr id="262" name="AutoShape 249">
            <a:extLst>
              <a:ext uri="{FF2B5EF4-FFF2-40B4-BE49-F238E27FC236}">
                <a16:creationId xmlns:a16="http://schemas.microsoft.com/office/drawing/2014/main" id="{00000000-0008-0000-1000-000006010000}"/>
              </a:ext>
            </a:extLst>
          </xdr:cNvPr>
          <xdr:cNvSpPr>
            <a:spLocks/>
          </xdr:cNvSpPr>
        </xdr:nvSpPr>
        <xdr:spPr bwMode="auto">
          <a:xfrm>
            <a:off x="6991350" y="5276850"/>
            <a:ext cx="2105025" cy="733425"/>
          </a:xfrm>
          <a:prstGeom prst="callout2">
            <a:avLst>
              <a:gd name="adj1" fmla="val 15583"/>
              <a:gd name="adj2" fmla="val -3347"/>
              <a:gd name="adj3" fmla="val 15583"/>
              <a:gd name="adj4" fmla="val -20921"/>
              <a:gd name="adj5" fmla="val -92208"/>
              <a:gd name="adj6" fmla="val -51046"/>
            </a:avLst>
          </a:prstGeom>
          <a:solidFill>
            <a:srgbClr val="FFFFFF"/>
          </a:solidFill>
          <a:ln w="9525">
            <a:solidFill>
              <a:srgbClr val="000000"/>
            </a:solidFill>
            <a:miter lim="800000"/>
            <a:headEnd/>
            <a:tailEnd type="triangle" w="lg" len="lg"/>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Double-Seamed Module Closure</a:t>
            </a:r>
          </a:p>
        </xdr:txBody>
      </xdr:sp>
      <xdr:sp macro="" textlink="">
        <xdr:nvSpPr>
          <xdr:cNvPr id="263" name="TextBox 262">
            <a:extLst>
              <a:ext uri="{FF2B5EF4-FFF2-40B4-BE49-F238E27FC236}">
                <a16:creationId xmlns:a16="http://schemas.microsoft.com/office/drawing/2014/main" id="{00000000-0008-0000-1000-000007010000}"/>
              </a:ext>
            </a:extLst>
          </xdr:cNvPr>
          <xdr:cNvSpPr txBox="1"/>
        </xdr:nvSpPr>
        <xdr:spPr>
          <a:xfrm>
            <a:off x="1844842" y="6272212"/>
            <a:ext cx="5572125" cy="8667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Module</a:t>
            </a:r>
            <a:r>
              <a:rPr lang="en-US" sz="2400" b="1" baseline="0"/>
              <a:t> with Sealed Aluminum Container Designed for Liquid Cooling</a:t>
            </a:r>
          </a:p>
        </xdr:txBody>
      </xdr:sp>
      <xdr:sp macro="" textlink="">
        <xdr:nvSpPr>
          <xdr:cNvPr id="264" name="TextBox 263">
            <a:extLst>
              <a:ext uri="{FF2B5EF4-FFF2-40B4-BE49-F238E27FC236}">
                <a16:creationId xmlns:a16="http://schemas.microsoft.com/office/drawing/2014/main" id="{00000000-0008-0000-1000-000008010000}"/>
              </a:ext>
            </a:extLst>
          </xdr:cNvPr>
          <xdr:cNvSpPr txBox="1"/>
        </xdr:nvSpPr>
        <xdr:spPr>
          <a:xfrm>
            <a:off x="8039100" y="6210299"/>
            <a:ext cx="5572125" cy="8667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Provision for Rapid Gas Release from Back</a:t>
            </a:r>
            <a:r>
              <a:rPr lang="en-US" sz="2400" b="1" baseline="0"/>
              <a:t> of Modules through Pack Cover</a:t>
            </a:r>
          </a:p>
        </xdr:txBody>
      </xdr:sp>
      <xdr:sp macro="" textlink="">
        <xdr:nvSpPr>
          <xdr:cNvPr id="265" name="TextBox 264">
            <a:extLst>
              <a:ext uri="{FF2B5EF4-FFF2-40B4-BE49-F238E27FC236}">
                <a16:creationId xmlns:a16="http://schemas.microsoft.com/office/drawing/2014/main" id="{00000000-0008-0000-1000-000009010000}"/>
              </a:ext>
            </a:extLst>
          </xdr:cNvPr>
          <xdr:cNvSpPr txBox="1"/>
        </xdr:nvSpPr>
        <xdr:spPr>
          <a:xfrm>
            <a:off x="2390775" y="847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US" sz="1100"/>
          </a:p>
        </xdr:txBody>
      </xdr:sp>
      <xdr:grpSp>
        <xdr:nvGrpSpPr>
          <xdr:cNvPr id="266" name="Group 265">
            <a:extLst>
              <a:ext uri="{FF2B5EF4-FFF2-40B4-BE49-F238E27FC236}">
                <a16:creationId xmlns:a16="http://schemas.microsoft.com/office/drawing/2014/main" id="{00000000-0008-0000-1000-00000A010000}"/>
              </a:ext>
            </a:extLst>
          </xdr:cNvPr>
          <xdr:cNvGrpSpPr/>
        </xdr:nvGrpSpPr>
        <xdr:grpSpPr>
          <a:xfrm>
            <a:off x="8305801" y="1162049"/>
            <a:ext cx="2219304" cy="3952875"/>
            <a:chOff x="5283871" y="809625"/>
            <a:chExt cx="1633995" cy="3952875"/>
          </a:xfrm>
        </xdr:grpSpPr>
        <xdr:sp macro="" textlink="">
          <xdr:nvSpPr>
            <xdr:cNvPr id="310" name="Rectangle 309">
              <a:extLst>
                <a:ext uri="{FF2B5EF4-FFF2-40B4-BE49-F238E27FC236}">
                  <a16:creationId xmlns:a16="http://schemas.microsoft.com/office/drawing/2014/main" id="{00000000-0008-0000-1000-000036010000}"/>
                </a:ext>
              </a:extLst>
            </xdr:cNvPr>
            <xdr:cNvSpPr/>
          </xdr:nvSpPr>
          <xdr:spPr>
            <a:xfrm>
              <a:off x="5283871" y="809625"/>
              <a:ext cx="1633995" cy="3952875"/>
            </a:xfrm>
            <a:prstGeom prst="rect">
              <a:avLst/>
            </a:prstGeom>
            <a:blipFill>
              <a:blip xmlns:r="http://schemas.openxmlformats.org/officeDocument/2006/relationships" r:embed="rId1"/>
              <a:tile tx="0" ty="0" sx="100000" sy="100000" flip="none" algn="tl"/>
            </a:blipFill>
            <a:ln w="19050">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1" name="Rectangle 310">
              <a:extLst>
                <a:ext uri="{FF2B5EF4-FFF2-40B4-BE49-F238E27FC236}">
                  <a16:creationId xmlns:a16="http://schemas.microsoft.com/office/drawing/2014/main" id="{00000000-0008-0000-1000-000037010000}"/>
                </a:ext>
              </a:extLst>
            </xdr:cNvPr>
            <xdr:cNvSpPr/>
          </xdr:nvSpPr>
          <xdr:spPr>
            <a:xfrm>
              <a:off x="5311921" y="1066800"/>
              <a:ext cx="1387398" cy="3390900"/>
            </a:xfrm>
            <a:prstGeom prst="rect">
              <a:avLst/>
            </a:prstGeom>
            <a:solidFill>
              <a:schemeClr val="accent1">
                <a:lumMod val="40000"/>
                <a:lumOff val="6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67" name="Rectangle 266">
            <a:extLst>
              <a:ext uri="{FF2B5EF4-FFF2-40B4-BE49-F238E27FC236}">
                <a16:creationId xmlns:a16="http://schemas.microsoft.com/office/drawing/2014/main" id="{00000000-0008-0000-1000-00000B010000}"/>
              </a:ext>
            </a:extLst>
          </xdr:cNvPr>
          <xdr:cNvSpPr/>
        </xdr:nvSpPr>
        <xdr:spPr>
          <a:xfrm>
            <a:off x="8743950" y="1571624"/>
            <a:ext cx="1419225" cy="3105150"/>
          </a:xfrm>
          <a:prstGeom prst="rect">
            <a:avLst/>
          </a:prstGeom>
          <a:solidFill>
            <a:schemeClr val="bg1"/>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8" name="Rectangle 267">
            <a:extLst>
              <a:ext uri="{FF2B5EF4-FFF2-40B4-BE49-F238E27FC236}">
                <a16:creationId xmlns:a16="http://schemas.microsoft.com/office/drawing/2014/main" id="{00000000-0008-0000-1000-00000C010000}"/>
              </a:ext>
            </a:extLst>
          </xdr:cNvPr>
          <xdr:cNvSpPr/>
        </xdr:nvSpPr>
        <xdr:spPr>
          <a:xfrm>
            <a:off x="9567039" y="1733550"/>
            <a:ext cx="355218" cy="2790825"/>
          </a:xfrm>
          <a:prstGeom prst="rect">
            <a:avLst/>
          </a:prstGeom>
          <a:gradFill flip="none" rotWithShape="1">
            <a:gsLst>
              <a:gs pos="0">
                <a:schemeClr val="tx1">
                  <a:lumMod val="50000"/>
                  <a:lumOff val="50000"/>
                </a:schemeClr>
              </a:gs>
              <a:gs pos="50000">
                <a:srgbClr val="CCFFFF">
                  <a:shade val="67500"/>
                  <a:satMod val="115000"/>
                </a:srgbClr>
              </a:gs>
              <a:gs pos="100000">
                <a:schemeClr val="bg1"/>
              </a:gs>
            </a:gsLst>
            <a:lin ang="13500000" scaled="1"/>
            <a:tileRect/>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gradFill>
                <a:gsLst>
                  <a:gs pos="0">
                    <a:schemeClr val="tx1">
                      <a:lumMod val="50000"/>
                      <a:lumOff val="50000"/>
                    </a:schemeClr>
                  </a:gs>
                  <a:gs pos="50000">
                    <a:schemeClr val="bg1"/>
                  </a:gs>
                  <a:gs pos="100000">
                    <a:schemeClr val="bg1"/>
                  </a:gs>
                </a:gsLst>
                <a:lin ang="13500000" scaled="1"/>
              </a:gradFill>
            </a:endParaRPr>
          </a:p>
        </xdr:txBody>
      </xdr:sp>
      <xdr:sp macro="" textlink="">
        <xdr:nvSpPr>
          <xdr:cNvPr id="269" name="Rounded Rectangle 268">
            <a:extLst>
              <a:ext uri="{FF2B5EF4-FFF2-40B4-BE49-F238E27FC236}">
                <a16:creationId xmlns:a16="http://schemas.microsoft.com/office/drawing/2014/main" id="{00000000-0008-0000-1000-00000D010000}"/>
              </a:ext>
            </a:extLst>
          </xdr:cNvPr>
          <xdr:cNvSpPr/>
        </xdr:nvSpPr>
        <xdr:spPr>
          <a:xfrm>
            <a:off x="9944458" y="1914524"/>
            <a:ext cx="185380" cy="190499"/>
          </a:xfrm>
          <a:prstGeom prst="roundRect">
            <a:avLst/>
          </a:prstGeom>
          <a:solidFill>
            <a:schemeClr val="bg1"/>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0" name="Straight Connector 269">
            <a:extLst>
              <a:ext uri="{FF2B5EF4-FFF2-40B4-BE49-F238E27FC236}">
                <a16:creationId xmlns:a16="http://schemas.microsoft.com/office/drawing/2014/main" id="{00000000-0008-0000-1000-00000E010000}"/>
              </a:ext>
            </a:extLst>
          </xdr:cNvPr>
          <xdr:cNvCxnSpPr/>
        </xdr:nvCxnSpPr>
        <xdr:spPr>
          <a:xfrm flipV="1">
            <a:off x="8753475" y="1581442"/>
            <a:ext cx="1476376" cy="0"/>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1000-00000F010000}"/>
              </a:ext>
            </a:extLst>
          </xdr:cNvPr>
          <xdr:cNvCxnSpPr/>
        </xdr:nvCxnSpPr>
        <xdr:spPr>
          <a:xfrm>
            <a:off x="10153642" y="1591114"/>
            <a:ext cx="0" cy="3095037"/>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72" name="Rectangle 271">
            <a:extLst>
              <a:ext uri="{FF2B5EF4-FFF2-40B4-BE49-F238E27FC236}">
                <a16:creationId xmlns:a16="http://schemas.microsoft.com/office/drawing/2014/main" id="{00000000-0008-0000-1000-000010010000}"/>
              </a:ext>
            </a:extLst>
          </xdr:cNvPr>
          <xdr:cNvSpPr/>
        </xdr:nvSpPr>
        <xdr:spPr>
          <a:xfrm>
            <a:off x="10172701" y="1581149"/>
            <a:ext cx="45719" cy="3095625"/>
          </a:xfrm>
          <a:prstGeom prst="rect">
            <a:avLst/>
          </a:prstGeom>
          <a:solidFill>
            <a:schemeClr val="bg1"/>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3" name="Trapezoid 272">
            <a:extLst>
              <a:ext uri="{FF2B5EF4-FFF2-40B4-BE49-F238E27FC236}">
                <a16:creationId xmlns:a16="http://schemas.microsoft.com/office/drawing/2014/main" id="{00000000-0008-0000-1000-000011010000}"/>
              </a:ext>
            </a:extLst>
          </xdr:cNvPr>
          <xdr:cNvSpPr/>
        </xdr:nvSpPr>
        <xdr:spPr>
          <a:xfrm rot="5400000">
            <a:off x="7465877" y="2846292"/>
            <a:ext cx="3005137" cy="560579"/>
          </a:xfrm>
          <a:prstGeom prst="trapezoid">
            <a:avLst>
              <a:gd name="adj" fmla="val 17054"/>
            </a:avLst>
          </a:prstGeom>
          <a:gradFill flip="none" rotWithShape="1">
            <a:gsLst>
              <a:gs pos="0">
                <a:schemeClr val="accent3">
                  <a:lumMod val="40000"/>
                  <a:lumOff val="60000"/>
                </a:schemeClr>
              </a:gs>
              <a:gs pos="50000">
                <a:schemeClr val="accent3">
                  <a:lumMod val="40000"/>
                  <a:lumOff val="60000"/>
                </a:schemeClr>
              </a:gs>
              <a:gs pos="100000">
                <a:schemeClr val="accent1">
                  <a:tint val="23500"/>
                  <a:satMod val="160000"/>
                </a:schemeClr>
              </a:gs>
            </a:gsLst>
            <a:path path="circle">
              <a:fillToRect r="100000" b="100000"/>
            </a:path>
            <a:tileRect l="-100000" t="-100000"/>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4" name="Straight Connector 273">
            <a:extLst>
              <a:ext uri="{FF2B5EF4-FFF2-40B4-BE49-F238E27FC236}">
                <a16:creationId xmlns:a16="http://schemas.microsoft.com/office/drawing/2014/main" id="{00000000-0008-0000-1000-000012010000}"/>
              </a:ext>
            </a:extLst>
          </xdr:cNvPr>
          <xdr:cNvCxnSpPr/>
        </xdr:nvCxnSpPr>
        <xdr:spPr>
          <a:xfrm>
            <a:off x="9248775" y="5419724"/>
            <a:ext cx="504825"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Arrow Connector 274">
            <a:extLst>
              <a:ext uri="{FF2B5EF4-FFF2-40B4-BE49-F238E27FC236}">
                <a16:creationId xmlns:a16="http://schemas.microsoft.com/office/drawing/2014/main" id="{00000000-0008-0000-1000-000013010000}"/>
              </a:ext>
            </a:extLst>
          </xdr:cNvPr>
          <xdr:cNvCxnSpPr/>
        </xdr:nvCxnSpPr>
        <xdr:spPr>
          <a:xfrm flipV="1">
            <a:off x="9744075" y="4695825"/>
            <a:ext cx="190500" cy="723899"/>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276" name="Rectangle 275">
            <a:extLst>
              <a:ext uri="{FF2B5EF4-FFF2-40B4-BE49-F238E27FC236}">
                <a16:creationId xmlns:a16="http://schemas.microsoft.com/office/drawing/2014/main" id="{00000000-0008-0000-1000-000014010000}"/>
              </a:ext>
            </a:extLst>
          </xdr:cNvPr>
          <xdr:cNvSpPr/>
        </xdr:nvSpPr>
        <xdr:spPr>
          <a:xfrm>
            <a:off x="8334375" y="1581149"/>
            <a:ext cx="352425" cy="3086100"/>
          </a:xfrm>
          <a:prstGeom prst="rect">
            <a:avLst/>
          </a:prstGeom>
          <a:gradFill flip="none" rotWithShape="1">
            <a:gsLst>
              <a:gs pos="0">
                <a:schemeClr val="accent3">
                  <a:lumMod val="60000"/>
                  <a:lumOff val="40000"/>
                </a:schemeClr>
              </a:gs>
              <a:gs pos="50000">
                <a:schemeClr val="bg2">
                  <a:lumMod val="90000"/>
                </a:schemeClr>
              </a:gs>
              <a:gs pos="100000">
                <a:schemeClr val="accent1">
                  <a:tint val="23500"/>
                  <a:satMod val="160000"/>
                </a:schemeClr>
              </a:gs>
            </a:gsLst>
            <a:path path="circle">
              <a:fillToRect r="100000" b="100000"/>
            </a:path>
            <a:tileRect l="-100000" t="-100000"/>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7" name="Straight Connector 276">
            <a:extLst>
              <a:ext uri="{FF2B5EF4-FFF2-40B4-BE49-F238E27FC236}">
                <a16:creationId xmlns:a16="http://schemas.microsoft.com/office/drawing/2014/main" id="{00000000-0008-0000-1000-000015010000}"/>
              </a:ext>
            </a:extLst>
          </xdr:cNvPr>
          <xdr:cNvCxnSpPr/>
        </xdr:nvCxnSpPr>
        <xdr:spPr>
          <a:xfrm flipH="1" flipV="1">
            <a:off x="11468100" y="1114427"/>
            <a:ext cx="20260" cy="4305297"/>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1000-000016010000}"/>
              </a:ext>
            </a:extLst>
          </xdr:cNvPr>
          <xdr:cNvCxnSpPr/>
        </xdr:nvCxnSpPr>
        <xdr:spPr>
          <a:xfrm>
            <a:off x="9020175" y="1114424"/>
            <a:ext cx="2447925"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1000-000017010000}"/>
              </a:ext>
            </a:extLst>
          </xdr:cNvPr>
          <xdr:cNvCxnSpPr/>
        </xdr:nvCxnSpPr>
        <xdr:spPr>
          <a:xfrm>
            <a:off x="8620125" y="5143499"/>
            <a:ext cx="200025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1000-000018010000}"/>
              </a:ext>
            </a:extLst>
          </xdr:cNvPr>
          <xdr:cNvCxnSpPr/>
        </xdr:nvCxnSpPr>
        <xdr:spPr>
          <a:xfrm>
            <a:off x="10620375" y="5143499"/>
            <a:ext cx="0" cy="257175"/>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1000-000019010000}"/>
              </a:ext>
            </a:extLst>
          </xdr:cNvPr>
          <xdr:cNvCxnSpPr/>
        </xdr:nvCxnSpPr>
        <xdr:spPr>
          <a:xfrm>
            <a:off x="10182225" y="2486024"/>
            <a:ext cx="0" cy="125730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282" name="Rectangle 281">
            <a:extLst>
              <a:ext uri="{FF2B5EF4-FFF2-40B4-BE49-F238E27FC236}">
                <a16:creationId xmlns:a16="http://schemas.microsoft.com/office/drawing/2014/main" id="{00000000-0008-0000-1000-00001A010000}"/>
              </a:ext>
            </a:extLst>
          </xdr:cNvPr>
          <xdr:cNvSpPr/>
        </xdr:nvSpPr>
        <xdr:spPr>
          <a:xfrm>
            <a:off x="10229850" y="2428874"/>
            <a:ext cx="314325" cy="1371600"/>
          </a:xfrm>
          <a:prstGeom prst="rect">
            <a:avLst/>
          </a:prstGeom>
          <a:blipFill>
            <a:blip xmlns:r="http://schemas.openxmlformats.org/officeDocument/2006/relationships" r:embed="rId1"/>
            <a:tile tx="0" ty="0" sx="100000" sy="100000" flip="none" algn="tl"/>
          </a:blip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83" name="Straight Arrow Connector 282">
            <a:extLst>
              <a:ext uri="{FF2B5EF4-FFF2-40B4-BE49-F238E27FC236}">
                <a16:creationId xmlns:a16="http://schemas.microsoft.com/office/drawing/2014/main" id="{00000000-0008-0000-1000-00001B010000}"/>
              </a:ext>
            </a:extLst>
          </xdr:cNvPr>
          <xdr:cNvCxnSpPr/>
        </xdr:nvCxnSpPr>
        <xdr:spPr>
          <a:xfrm flipH="1" flipV="1">
            <a:off x="10201275" y="2862263"/>
            <a:ext cx="990601" cy="290511"/>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cxnSp macro="">
        <xdr:nvCxnSpPr>
          <xdr:cNvPr id="284" name="Straight Arrow Connector 283">
            <a:extLst>
              <a:ext uri="{FF2B5EF4-FFF2-40B4-BE49-F238E27FC236}">
                <a16:creationId xmlns:a16="http://schemas.microsoft.com/office/drawing/2014/main" id="{00000000-0008-0000-1000-00001C010000}"/>
              </a:ext>
            </a:extLst>
          </xdr:cNvPr>
          <xdr:cNvCxnSpPr/>
        </xdr:nvCxnSpPr>
        <xdr:spPr>
          <a:xfrm>
            <a:off x="9144000" y="314324"/>
            <a:ext cx="609600" cy="1676400"/>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285" name="Line Callout 2 (No Border) 284">
            <a:extLst>
              <a:ext uri="{FF2B5EF4-FFF2-40B4-BE49-F238E27FC236}">
                <a16:creationId xmlns:a16="http://schemas.microsoft.com/office/drawing/2014/main" id="{00000000-0008-0000-1000-00001D010000}"/>
              </a:ext>
            </a:extLst>
          </xdr:cNvPr>
          <xdr:cNvSpPr/>
        </xdr:nvSpPr>
        <xdr:spPr>
          <a:xfrm>
            <a:off x="11839576" y="1009650"/>
            <a:ext cx="1981200" cy="1266824"/>
          </a:xfrm>
          <a:prstGeom prst="callout2">
            <a:avLst>
              <a:gd name="adj1" fmla="val 19109"/>
              <a:gd name="adj2" fmla="val -1582"/>
              <a:gd name="adj3" fmla="val 18750"/>
              <a:gd name="adj4" fmla="val -41667"/>
              <a:gd name="adj5" fmla="val 71131"/>
              <a:gd name="adj6" fmla="val -91388"/>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Polymer Standoff Providing Gas Passage</a:t>
            </a:r>
          </a:p>
        </xdr:txBody>
      </xdr:sp>
      <xdr:sp macro="" textlink="">
        <xdr:nvSpPr>
          <xdr:cNvPr id="286" name="Line Callout 2 (No Border) 285">
            <a:extLst>
              <a:ext uri="{FF2B5EF4-FFF2-40B4-BE49-F238E27FC236}">
                <a16:creationId xmlns:a16="http://schemas.microsoft.com/office/drawing/2014/main" id="{00000000-0008-0000-1000-00001E010000}"/>
              </a:ext>
            </a:extLst>
          </xdr:cNvPr>
          <xdr:cNvSpPr/>
        </xdr:nvSpPr>
        <xdr:spPr>
          <a:xfrm>
            <a:off x="12049126" y="2524125"/>
            <a:ext cx="1695450" cy="447674"/>
          </a:xfrm>
          <a:prstGeom prst="callout2">
            <a:avLst>
              <a:gd name="adj1" fmla="val 19861"/>
              <a:gd name="adj2" fmla="val -1582"/>
              <a:gd name="adj3" fmla="val 18750"/>
              <a:gd name="adj4" fmla="val -16667"/>
              <a:gd name="adj5" fmla="val -78942"/>
              <a:gd name="adj6" fmla="val -112401"/>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Module Wall</a:t>
            </a:r>
          </a:p>
        </xdr:txBody>
      </xdr:sp>
      <xdr:sp macro="" textlink="">
        <xdr:nvSpPr>
          <xdr:cNvPr id="287" name="Line Callout 2 (No Border) 286">
            <a:extLst>
              <a:ext uri="{FF2B5EF4-FFF2-40B4-BE49-F238E27FC236}">
                <a16:creationId xmlns:a16="http://schemas.microsoft.com/office/drawing/2014/main" id="{00000000-0008-0000-1000-00001F010000}"/>
              </a:ext>
            </a:extLst>
          </xdr:cNvPr>
          <xdr:cNvSpPr/>
        </xdr:nvSpPr>
        <xdr:spPr>
          <a:xfrm>
            <a:off x="12058650" y="2990850"/>
            <a:ext cx="1724025" cy="742950"/>
          </a:xfrm>
          <a:prstGeom prst="callout2">
            <a:avLst>
              <a:gd name="adj1" fmla="val 19861"/>
              <a:gd name="adj2" fmla="val -1582"/>
              <a:gd name="adj3" fmla="val 21314"/>
              <a:gd name="adj4" fmla="val -49816"/>
              <a:gd name="adj5" fmla="val 46625"/>
              <a:gd name="adj6" fmla="val -96728"/>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Pressure</a:t>
            </a:r>
            <a:r>
              <a:rPr lang="en-US" sz="2000" b="1" baseline="0">
                <a:ln>
                  <a:noFill/>
                </a:ln>
                <a:solidFill>
                  <a:sysClr val="windowText" lastClr="000000"/>
                </a:solidFill>
                <a:latin typeface="Arial" panose="020B0604020202020204" pitchFamily="34" charset="0"/>
                <a:cs typeface="Arial" panose="020B0604020202020204" pitchFamily="34" charset="0"/>
              </a:rPr>
              <a:t> Relief Disks</a:t>
            </a:r>
            <a:endParaRPr lang="en-US" sz="2000" b="1">
              <a:ln>
                <a:noFill/>
              </a:ln>
              <a:solidFill>
                <a:sysClr val="windowText" lastClr="000000"/>
              </a:solidFill>
              <a:latin typeface="Arial" panose="020B0604020202020204" pitchFamily="34" charset="0"/>
              <a:cs typeface="Arial" panose="020B0604020202020204" pitchFamily="34" charset="0"/>
            </a:endParaRPr>
          </a:p>
        </xdr:txBody>
      </xdr:sp>
      <xdr:sp macro="" textlink="">
        <xdr:nvSpPr>
          <xdr:cNvPr id="288" name="Line Callout 2 (No Border) 287">
            <a:extLst>
              <a:ext uri="{FF2B5EF4-FFF2-40B4-BE49-F238E27FC236}">
                <a16:creationId xmlns:a16="http://schemas.microsoft.com/office/drawing/2014/main" id="{00000000-0008-0000-1000-000020010000}"/>
              </a:ext>
            </a:extLst>
          </xdr:cNvPr>
          <xdr:cNvSpPr/>
        </xdr:nvSpPr>
        <xdr:spPr>
          <a:xfrm>
            <a:off x="11772900" y="4810125"/>
            <a:ext cx="2257425" cy="1028700"/>
          </a:xfrm>
          <a:prstGeom prst="callout2">
            <a:avLst>
              <a:gd name="adj1" fmla="val 19861"/>
              <a:gd name="adj2" fmla="val -1582"/>
              <a:gd name="adj3" fmla="val 18750"/>
              <a:gd name="adj4" fmla="val -16667"/>
              <a:gd name="adj5" fmla="val -9536"/>
              <a:gd name="adj6" fmla="val -34852"/>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Exterior Exhaust</a:t>
            </a:r>
          </a:p>
          <a:p>
            <a:pPr algn="l"/>
            <a:r>
              <a:rPr lang="en-US" sz="2000" b="1">
                <a:ln>
                  <a:noFill/>
                </a:ln>
                <a:solidFill>
                  <a:sysClr val="windowText" lastClr="000000"/>
                </a:solidFill>
                <a:latin typeface="Arial" panose="020B0604020202020204" pitchFamily="34" charset="0"/>
                <a:cs typeface="Arial" panose="020B0604020202020204" pitchFamily="34" charset="0"/>
              </a:rPr>
              <a:t>Channel</a:t>
            </a:r>
            <a:r>
              <a:rPr lang="en-US" sz="2000" b="1" baseline="0">
                <a:ln>
                  <a:noFill/>
                </a:ln>
                <a:solidFill>
                  <a:sysClr val="windowText" lastClr="000000"/>
                </a:solidFill>
                <a:latin typeface="Arial" panose="020B0604020202020204" pitchFamily="34" charset="0"/>
                <a:cs typeface="Arial" panose="020B0604020202020204" pitchFamily="34" charset="0"/>
              </a:rPr>
              <a:t> to Beneath Vehicle</a:t>
            </a:r>
          </a:p>
        </xdr:txBody>
      </xdr:sp>
      <xdr:sp macro="" textlink="">
        <xdr:nvSpPr>
          <xdr:cNvPr id="289" name="Line Callout 2 (No Border) 288">
            <a:extLst>
              <a:ext uri="{FF2B5EF4-FFF2-40B4-BE49-F238E27FC236}">
                <a16:creationId xmlns:a16="http://schemas.microsoft.com/office/drawing/2014/main" id="{00000000-0008-0000-1000-000021010000}"/>
              </a:ext>
            </a:extLst>
          </xdr:cNvPr>
          <xdr:cNvSpPr/>
        </xdr:nvSpPr>
        <xdr:spPr>
          <a:xfrm>
            <a:off x="9515475" y="152400"/>
            <a:ext cx="2257425" cy="857250"/>
          </a:xfrm>
          <a:prstGeom prst="callout2">
            <a:avLst>
              <a:gd name="adj1" fmla="val 19861"/>
              <a:gd name="adj2" fmla="val -1582"/>
              <a:gd name="adj3" fmla="val 18750"/>
              <a:gd name="adj4" fmla="val -16667"/>
              <a:gd name="adj5" fmla="val 343612"/>
              <a:gd name="adj6" fmla="val -214177"/>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Cell Terminal</a:t>
            </a:r>
          </a:p>
        </xdr:txBody>
      </xdr:sp>
      <xdr:sp macro="" textlink="">
        <xdr:nvSpPr>
          <xdr:cNvPr id="290" name="Rectangle 289">
            <a:extLst>
              <a:ext uri="{FF2B5EF4-FFF2-40B4-BE49-F238E27FC236}">
                <a16:creationId xmlns:a16="http://schemas.microsoft.com/office/drawing/2014/main" id="{00000000-0008-0000-1000-000022010000}"/>
              </a:ext>
            </a:extLst>
          </xdr:cNvPr>
          <xdr:cNvSpPr/>
        </xdr:nvSpPr>
        <xdr:spPr>
          <a:xfrm>
            <a:off x="9229724" y="1714500"/>
            <a:ext cx="352425" cy="2828925"/>
          </a:xfrm>
          <a:prstGeom prst="rect">
            <a:avLst/>
          </a:prstGeom>
          <a:gradFill flip="none" rotWithShape="1">
            <a:gsLst>
              <a:gs pos="0">
                <a:schemeClr val="accent3">
                  <a:lumMod val="60000"/>
                  <a:lumOff val="40000"/>
                </a:schemeClr>
              </a:gs>
              <a:gs pos="50000">
                <a:schemeClr val="bg2">
                  <a:lumMod val="90000"/>
                </a:schemeClr>
              </a:gs>
              <a:gs pos="100000">
                <a:schemeClr val="accent1">
                  <a:tint val="23500"/>
                  <a:satMod val="160000"/>
                </a:schemeClr>
              </a:gs>
            </a:gsLst>
            <a:path path="circle">
              <a:fillToRect r="100000" b="100000"/>
            </a:path>
            <a:tileRect l="-100000" t="-100000"/>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w="19050">
                <a:solidFill>
                  <a:schemeClr val="tx1"/>
                </a:solidFill>
              </a:ln>
            </a:endParaRPr>
          </a:p>
        </xdr:txBody>
      </xdr:sp>
      <xdr:sp macro="" textlink="">
        <xdr:nvSpPr>
          <xdr:cNvPr id="291" name="Line Callout 2 (No Border) 290">
            <a:extLst>
              <a:ext uri="{FF2B5EF4-FFF2-40B4-BE49-F238E27FC236}">
                <a16:creationId xmlns:a16="http://schemas.microsoft.com/office/drawing/2014/main" id="{00000000-0008-0000-1000-000023010000}"/>
              </a:ext>
            </a:extLst>
          </xdr:cNvPr>
          <xdr:cNvSpPr/>
        </xdr:nvSpPr>
        <xdr:spPr>
          <a:xfrm>
            <a:off x="11772900" y="3657599"/>
            <a:ext cx="1924050" cy="1000125"/>
          </a:xfrm>
          <a:prstGeom prst="callout2">
            <a:avLst>
              <a:gd name="adj1" fmla="val 19861"/>
              <a:gd name="adj2" fmla="val -1582"/>
              <a:gd name="adj3" fmla="val 21314"/>
              <a:gd name="adj4" fmla="val -49816"/>
              <a:gd name="adj5" fmla="val 35443"/>
              <a:gd name="adj6" fmla="val -120998"/>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Cell Pouch -to-Terminal seal</a:t>
            </a:r>
          </a:p>
        </xdr:txBody>
      </xdr:sp>
      <xdr:sp macro="" textlink="">
        <xdr:nvSpPr>
          <xdr:cNvPr id="292" name="Line Callout 2 (No Border) 291">
            <a:extLst>
              <a:ext uri="{FF2B5EF4-FFF2-40B4-BE49-F238E27FC236}">
                <a16:creationId xmlns:a16="http://schemas.microsoft.com/office/drawing/2014/main" id="{00000000-0008-0000-1000-000024010000}"/>
              </a:ext>
            </a:extLst>
          </xdr:cNvPr>
          <xdr:cNvSpPr/>
        </xdr:nvSpPr>
        <xdr:spPr>
          <a:xfrm>
            <a:off x="12172950" y="276225"/>
            <a:ext cx="1724025" cy="742950"/>
          </a:xfrm>
          <a:prstGeom prst="callout2">
            <a:avLst>
              <a:gd name="adj1" fmla="val 19861"/>
              <a:gd name="adj2" fmla="val -1582"/>
              <a:gd name="adj3" fmla="val 18750"/>
              <a:gd name="adj4" fmla="val -13352"/>
              <a:gd name="adj5" fmla="val 157202"/>
              <a:gd name="adj6" fmla="val -95900"/>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Insulated Pack Cover</a:t>
            </a:r>
          </a:p>
        </xdr:txBody>
      </xdr:sp>
      <xdr:cxnSp macro="">
        <xdr:nvCxnSpPr>
          <xdr:cNvPr id="293" name="Straight Connector 292">
            <a:extLst>
              <a:ext uri="{FF2B5EF4-FFF2-40B4-BE49-F238E27FC236}">
                <a16:creationId xmlns:a16="http://schemas.microsoft.com/office/drawing/2014/main" id="{00000000-0008-0000-1000-000025010000}"/>
              </a:ext>
            </a:extLst>
          </xdr:cNvPr>
          <xdr:cNvCxnSpPr/>
        </xdr:nvCxnSpPr>
        <xdr:spPr>
          <a:xfrm>
            <a:off x="10144469" y="1576388"/>
            <a:ext cx="87762" cy="2381"/>
          </a:xfrm>
          <a:prstGeom prst="line">
            <a:avLst/>
          </a:prstGeom>
          <a:ln w="5715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94" name="Rounded Rectangle 293">
            <a:extLst>
              <a:ext uri="{FF2B5EF4-FFF2-40B4-BE49-F238E27FC236}">
                <a16:creationId xmlns:a16="http://schemas.microsoft.com/office/drawing/2014/main" id="{00000000-0008-0000-1000-000026010000}"/>
              </a:ext>
            </a:extLst>
          </xdr:cNvPr>
          <xdr:cNvSpPr/>
        </xdr:nvSpPr>
        <xdr:spPr>
          <a:xfrm>
            <a:off x="9949221" y="4114715"/>
            <a:ext cx="185380" cy="190499"/>
          </a:xfrm>
          <a:prstGeom prst="roundRect">
            <a:avLst/>
          </a:prstGeom>
          <a:solidFill>
            <a:schemeClr val="bg1"/>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95" name="Straight Connector 294">
            <a:extLst>
              <a:ext uri="{FF2B5EF4-FFF2-40B4-BE49-F238E27FC236}">
                <a16:creationId xmlns:a16="http://schemas.microsoft.com/office/drawing/2014/main" id="{00000000-0008-0000-1000-000027010000}"/>
              </a:ext>
            </a:extLst>
          </xdr:cNvPr>
          <xdr:cNvCxnSpPr/>
        </xdr:nvCxnSpPr>
        <xdr:spPr>
          <a:xfrm>
            <a:off x="8420100" y="4686592"/>
            <a:ext cx="1828801" cy="0"/>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1000-000028010000}"/>
              </a:ext>
            </a:extLst>
          </xdr:cNvPr>
          <xdr:cNvCxnSpPr/>
        </xdr:nvCxnSpPr>
        <xdr:spPr>
          <a:xfrm>
            <a:off x="10163519" y="4681538"/>
            <a:ext cx="87762" cy="2381"/>
          </a:xfrm>
          <a:prstGeom prst="line">
            <a:avLst/>
          </a:prstGeom>
          <a:ln w="5715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97" name="Line Callout 2 (No Border) 296">
            <a:extLst>
              <a:ext uri="{FF2B5EF4-FFF2-40B4-BE49-F238E27FC236}">
                <a16:creationId xmlns:a16="http://schemas.microsoft.com/office/drawing/2014/main" id="{00000000-0008-0000-1000-000029010000}"/>
              </a:ext>
            </a:extLst>
          </xdr:cNvPr>
          <xdr:cNvSpPr/>
        </xdr:nvSpPr>
        <xdr:spPr>
          <a:xfrm>
            <a:off x="10220325" y="533400"/>
            <a:ext cx="1266825" cy="857250"/>
          </a:xfrm>
          <a:prstGeom prst="callout2">
            <a:avLst>
              <a:gd name="adj1" fmla="val 19861"/>
              <a:gd name="adj2" fmla="val -1582"/>
              <a:gd name="adj3" fmla="val 18750"/>
              <a:gd name="adj4" fmla="val -16667"/>
              <a:gd name="adj5" fmla="val 110278"/>
              <a:gd name="adj6" fmla="val -38364"/>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Coolant</a:t>
            </a:r>
          </a:p>
        </xdr:txBody>
      </xdr:sp>
      <xdr:grpSp>
        <xdr:nvGrpSpPr>
          <xdr:cNvPr id="298" name="Group 297">
            <a:extLst>
              <a:ext uri="{FF2B5EF4-FFF2-40B4-BE49-F238E27FC236}">
                <a16:creationId xmlns:a16="http://schemas.microsoft.com/office/drawing/2014/main" id="{00000000-0008-0000-1000-00002A010000}"/>
              </a:ext>
            </a:extLst>
          </xdr:cNvPr>
          <xdr:cNvGrpSpPr/>
        </xdr:nvGrpSpPr>
        <xdr:grpSpPr>
          <a:xfrm>
            <a:off x="2921132" y="4329635"/>
            <a:ext cx="202914" cy="201157"/>
            <a:chOff x="2921132" y="4329635"/>
            <a:chExt cx="202914" cy="201157"/>
          </a:xfrm>
        </xdr:grpSpPr>
        <xdr:sp macro="" textlink="">
          <xdr:nvSpPr>
            <xdr:cNvPr id="306" name="Oval 305">
              <a:extLst>
                <a:ext uri="{FF2B5EF4-FFF2-40B4-BE49-F238E27FC236}">
                  <a16:creationId xmlns:a16="http://schemas.microsoft.com/office/drawing/2014/main" id="{00000000-0008-0000-1000-000032010000}"/>
                </a:ext>
              </a:extLst>
            </xdr:cNvPr>
            <xdr:cNvSpPr/>
          </xdr:nvSpPr>
          <xdr:spPr>
            <a:xfrm>
              <a:off x="2957054" y="4329635"/>
              <a:ext cx="166992" cy="168164"/>
            </a:xfrm>
            <a:prstGeom prst="ellipse">
              <a:avLst/>
            </a:prstGeom>
            <a:solidFill>
              <a:schemeClr val="accent6"/>
            </a:solidFill>
            <a:ln w="127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7" name="Oval 306">
              <a:extLst>
                <a:ext uri="{FF2B5EF4-FFF2-40B4-BE49-F238E27FC236}">
                  <a16:creationId xmlns:a16="http://schemas.microsoft.com/office/drawing/2014/main" id="{00000000-0008-0000-1000-000033010000}"/>
                </a:ext>
              </a:extLst>
            </xdr:cNvPr>
            <xdr:cNvSpPr/>
          </xdr:nvSpPr>
          <xdr:spPr>
            <a:xfrm>
              <a:off x="2921132" y="4362628"/>
              <a:ext cx="166992" cy="168164"/>
            </a:xfrm>
            <a:prstGeom prst="ellipse">
              <a:avLst/>
            </a:prstGeom>
            <a:solidFill>
              <a:schemeClr val="accent6">
                <a:lumMod val="60000"/>
                <a:lumOff val="40000"/>
              </a:schemeClr>
            </a:solidFill>
            <a:ln w="28575">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08" name="Straight Connector 307">
              <a:extLst>
                <a:ext uri="{FF2B5EF4-FFF2-40B4-BE49-F238E27FC236}">
                  <a16:creationId xmlns:a16="http://schemas.microsoft.com/office/drawing/2014/main" id="{00000000-0008-0000-1000-000034010000}"/>
                </a:ext>
              </a:extLst>
            </xdr:cNvPr>
            <xdr:cNvCxnSpPr/>
          </xdr:nvCxnSpPr>
          <xdr:spPr>
            <a:xfrm flipV="1">
              <a:off x="2945606" y="4333874"/>
              <a:ext cx="69057" cy="38101"/>
            </a:xfrm>
            <a:prstGeom prst="line">
              <a:avLst/>
            </a:prstGeom>
            <a:ln>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1000-000035010000}"/>
                </a:ext>
              </a:extLst>
            </xdr:cNvPr>
            <xdr:cNvCxnSpPr/>
          </xdr:nvCxnSpPr>
          <xdr:spPr>
            <a:xfrm flipV="1">
              <a:off x="3057529" y="4467225"/>
              <a:ext cx="54765" cy="57152"/>
            </a:xfrm>
            <a:prstGeom prst="line">
              <a:avLst/>
            </a:prstGeom>
            <a:ln>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9" name="AutoShape 247">
            <a:extLst>
              <a:ext uri="{FF2B5EF4-FFF2-40B4-BE49-F238E27FC236}">
                <a16:creationId xmlns:a16="http://schemas.microsoft.com/office/drawing/2014/main" id="{00000000-0008-0000-1000-00002B010000}"/>
              </a:ext>
            </a:extLst>
          </xdr:cNvPr>
          <xdr:cNvSpPr>
            <a:spLocks/>
          </xdr:cNvSpPr>
        </xdr:nvSpPr>
        <xdr:spPr bwMode="auto">
          <a:xfrm>
            <a:off x="295276" y="4073846"/>
            <a:ext cx="1771488" cy="723900"/>
          </a:xfrm>
          <a:prstGeom prst="callout2">
            <a:avLst>
              <a:gd name="adj1" fmla="val 15792"/>
              <a:gd name="adj2" fmla="val 104278"/>
              <a:gd name="adj3" fmla="val 15792"/>
              <a:gd name="adj4" fmla="val 117111"/>
              <a:gd name="adj5" fmla="val 46051"/>
              <a:gd name="adj6" fmla="val 150171"/>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Low Voltage Coaxial Port</a:t>
            </a:r>
          </a:p>
        </xdr:txBody>
      </xdr:sp>
      <xdr:cxnSp macro="">
        <xdr:nvCxnSpPr>
          <xdr:cNvPr id="300" name="Straight Connector 299">
            <a:extLst>
              <a:ext uri="{FF2B5EF4-FFF2-40B4-BE49-F238E27FC236}">
                <a16:creationId xmlns:a16="http://schemas.microsoft.com/office/drawing/2014/main" id="{00000000-0008-0000-1000-00002C010000}"/>
              </a:ext>
            </a:extLst>
          </xdr:cNvPr>
          <xdr:cNvCxnSpPr/>
        </xdr:nvCxnSpPr>
        <xdr:spPr>
          <a:xfrm flipH="1">
            <a:off x="8339138" y="1621631"/>
            <a:ext cx="745332" cy="0"/>
          </a:xfrm>
          <a:prstGeom prst="line">
            <a:avLst/>
          </a:prstGeom>
          <a:ln w="3810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1000-00002D010000}"/>
              </a:ext>
            </a:extLst>
          </xdr:cNvPr>
          <xdr:cNvCxnSpPr/>
        </xdr:nvCxnSpPr>
        <xdr:spPr>
          <a:xfrm flipH="1">
            <a:off x="8339138" y="4650581"/>
            <a:ext cx="745332" cy="0"/>
          </a:xfrm>
          <a:prstGeom prst="line">
            <a:avLst/>
          </a:prstGeom>
          <a:ln w="3810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302" name="Oval 301">
            <a:extLst>
              <a:ext uri="{FF2B5EF4-FFF2-40B4-BE49-F238E27FC236}">
                <a16:creationId xmlns:a16="http://schemas.microsoft.com/office/drawing/2014/main" id="{00000000-0008-0000-1000-00002E010000}"/>
              </a:ext>
            </a:extLst>
          </xdr:cNvPr>
          <xdr:cNvSpPr/>
        </xdr:nvSpPr>
        <xdr:spPr>
          <a:xfrm>
            <a:off x="2967039" y="4417218"/>
            <a:ext cx="76200" cy="76200"/>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3" name="Freeform 302">
            <a:extLst>
              <a:ext uri="{FF2B5EF4-FFF2-40B4-BE49-F238E27FC236}">
                <a16:creationId xmlns:a16="http://schemas.microsoft.com/office/drawing/2014/main" id="{00000000-0008-0000-1000-00002F010000}"/>
              </a:ext>
            </a:extLst>
          </xdr:cNvPr>
          <xdr:cNvSpPr/>
        </xdr:nvSpPr>
        <xdr:spPr>
          <a:xfrm>
            <a:off x="8162925" y="1114424"/>
            <a:ext cx="733425" cy="4095750"/>
          </a:xfrm>
          <a:custGeom>
            <a:avLst/>
            <a:gdLst>
              <a:gd name="connsiteX0" fmla="*/ 733425 w 733425"/>
              <a:gd name="connsiteY0" fmla="*/ 0 h 4095750"/>
              <a:gd name="connsiteX1" fmla="*/ 276225 w 733425"/>
              <a:gd name="connsiteY1" fmla="*/ 2076450 h 4095750"/>
              <a:gd name="connsiteX2" fmla="*/ 571500 w 733425"/>
              <a:gd name="connsiteY2" fmla="*/ 1971675 h 4095750"/>
              <a:gd name="connsiteX3" fmla="*/ 142875 w 733425"/>
              <a:gd name="connsiteY3" fmla="*/ 4095750 h 4095750"/>
              <a:gd name="connsiteX4" fmla="*/ 0 w 733425"/>
              <a:gd name="connsiteY4" fmla="*/ 4086225 h 4095750"/>
              <a:gd name="connsiteX5" fmla="*/ 47625 w 733425"/>
              <a:gd name="connsiteY5" fmla="*/ 0 h 4095750"/>
              <a:gd name="connsiteX6" fmla="*/ 733425 w 733425"/>
              <a:gd name="connsiteY6" fmla="*/ 0 h 4095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733425" h="4095750">
                <a:moveTo>
                  <a:pt x="733425" y="0"/>
                </a:moveTo>
                <a:lnTo>
                  <a:pt x="276225" y="2076450"/>
                </a:lnTo>
                <a:lnTo>
                  <a:pt x="571500" y="1971675"/>
                </a:lnTo>
                <a:lnTo>
                  <a:pt x="142875" y="4095750"/>
                </a:lnTo>
                <a:lnTo>
                  <a:pt x="0" y="4086225"/>
                </a:lnTo>
                <a:lnTo>
                  <a:pt x="47625" y="0"/>
                </a:lnTo>
                <a:lnTo>
                  <a:pt x="733425" y="0"/>
                </a:lnTo>
                <a:close/>
              </a:path>
            </a:pathLst>
          </a:cu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solidFill>
                <a:schemeClr val="bg1"/>
              </a:solidFill>
            </a:endParaRPr>
          </a:p>
        </xdr:txBody>
      </xdr:sp>
      <xdr:sp macro="" textlink="">
        <xdr:nvSpPr>
          <xdr:cNvPr id="304" name="Freeform 303">
            <a:extLst>
              <a:ext uri="{FF2B5EF4-FFF2-40B4-BE49-F238E27FC236}">
                <a16:creationId xmlns:a16="http://schemas.microsoft.com/office/drawing/2014/main" id="{00000000-0008-0000-1000-000030010000}"/>
              </a:ext>
            </a:extLst>
          </xdr:cNvPr>
          <xdr:cNvSpPr/>
        </xdr:nvSpPr>
        <xdr:spPr>
          <a:xfrm>
            <a:off x="8305800" y="1040604"/>
            <a:ext cx="611981" cy="4131469"/>
          </a:xfrm>
          <a:custGeom>
            <a:avLst/>
            <a:gdLst>
              <a:gd name="connsiteX0" fmla="*/ 581025 w 581025"/>
              <a:gd name="connsiteY0" fmla="*/ 0 h 4000500"/>
              <a:gd name="connsiteX1" fmla="*/ 142875 w 581025"/>
              <a:gd name="connsiteY1" fmla="*/ 1981200 h 4000500"/>
              <a:gd name="connsiteX2" fmla="*/ 447675 w 581025"/>
              <a:gd name="connsiteY2" fmla="*/ 1885950 h 4000500"/>
              <a:gd name="connsiteX3" fmla="*/ 0 w 581025"/>
              <a:gd name="connsiteY3" fmla="*/ 4000500 h 4000500"/>
              <a:gd name="connsiteX0" fmla="*/ 581025 w 581025"/>
              <a:gd name="connsiteY0" fmla="*/ 0 h 4000500"/>
              <a:gd name="connsiteX1" fmla="*/ 142875 w 581025"/>
              <a:gd name="connsiteY1" fmla="*/ 2016919 h 4000500"/>
              <a:gd name="connsiteX2" fmla="*/ 447675 w 581025"/>
              <a:gd name="connsiteY2" fmla="*/ 1885950 h 4000500"/>
              <a:gd name="connsiteX3" fmla="*/ 0 w 581025"/>
              <a:gd name="connsiteY3" fmla="*/ 4000500 h 4000500"/>
              <a:gd name="connsiteX0" fmla="*/ 611981 w 611981"/>
              <a:gd name="connsiteY0" fmla="*/ 0 h 4131469"/>
              <a:gd name="connsiteX1" fmla="*/ 142875 w 611981"/>
              <a:gd name="connsiteY1" fmla="*/ 2147888 h 4131469"/>
              <a:gd name="connsiteX2" fmla="*/ 447675 w 611981"/>
              <a:gd name="connsiteY2" fmla="*/ 2016919 h 4131469"/>
              <a:gd name="connsiteX3" fmla="*/ 0 w 611981"/>
              <a:gd name="connsiteY3" fmla="*/ 4131469 h 4131469"/>
            </a:gdLst>
            <a:ahLst/>
            <a:cxnLst>
              <a:cxn ang="0">
                <a:pos x="connsiteX0" y="connsiteY0"/>
              </a:cxn>
              <a:cxn ang="0">
                <a:pos x="connsiteX1" y="connsiteY1"/>
              </a:cxn>
              <a:cxn ang="0">
                <a:pos x="connsiteX2" y="connsiteY2"/>
              </a:cxn>
              <a:cxn ang="0">
                <a:pos x="connsiteX3" y="connsiteY3"/>
              </a:cxn>
            </a:cxnLst>
            <a:rect l="l" t="t" r="r" b="b"/>
            <a:pathLst>
              <a:path w="611981" h="4131469">
                <a:moveTo>
                  <a:pt x="611981" y="0"/>
                </a:moveTo>
                <a:lnTo>
                  <a:pt x="142875" y="2147888"/>
                </a:lnTo>
                <a:lnTo>
                  <a:pt x="447675" y="2016919"/>
                </a:lnTo>
                <a:lnTo>
                  <a:pt x="0" y="4131469"/>
                </a:lnTo>
              </a:path>
            </a:pathLst>
          </a:custGeom>
          <a:noFill/>
          <a:ln w="28575">
            <a:solidFill>
              <a:sysClr val="windowText" lastClr="000000"/>
            </a:solidFill>
            <a:prstDash val="lgDashDot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05" name="Straight Arrow Connector 304">
            <a:extLst>
              <a:ext uri="{FF2B5EF4-FFF2-40B4-BE49-F238E27FC236}">
                <a16:creationId xmlns:a16="http://schemas.microsoft.com/office/drawing/2014/main" id="{00000000-0008-0000-1000-000031010000}"/>
              </a:ext>
            </a:extLst>
          </xdr:cNvPr>
          <xdr:cNvCxnSpPr/>
        </xdr:nvCxnSpPr>
        <xdr:spPr>
          <a:xfrm>
            <a:off x="6457950" y="152399"/>
            <a:ext cx="2514600" cy="1428751"/>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38100</xdr:colOff>
      <xdr:row>220</xdr:row>
      <xdr:rowOff>133350</xdr:rowOff>
    </xdr:from>
    <xdr:to>
      <xdr:col>13</xdr:col>
      <xdr:colOff>209550</xdr:colOff>
      <xdr:row>220</xdr:row>
      <xdr:rowOff>133350</xdr:rowOff>
    </xdr:to>
    <xdr:sp macro="" textlink="">
      <xdr:nvSpPr>
        <xdr:cNvPr id="12460" name="Line 1257">
          <a:extLst>
            <a:ext uri="{FF2B5EF4-FFF2-40B4-BE49-F238E27FC236}">
              <a16:creationId xmlns:a16="http://schemas.microsoft.com/office/drawing/2014/main" id="{00000000-0008-0000-1100-0000AC300000}"/>
            </a:ext>
          </a:extLst>
        </xdr:cNvPr>
        <xdr:cNvSpPr>
          <a:spLocks noChangeShapeType="1"/>
        </xdr:cNvSpPr>
      </xdr:nvSpPr>
      <xdr:spPr bwMode="auto">
        <a:xfrm>
          <a:off x="7962900" y="36271200"/>
          <a:ext cx="171450" cy="0"/>
        </a:xfrm>
        <a:prstGeom prst="line">
          <a:avLst/>
        </a:prstGeom>
        <a:noFill/>
        <a:ln w="38100">
          <a:solidFill>
            <a:srgbClr val="000000"/>
          </a:solidFill>
          <a:round/>
          <a:headEnd/>
          <a:tailEnd/>
        </a:ln>
      </xdr:spPr>
    </xdr:sp>
    <xdr:clientData/>
  </xdr:twoCellAnchor>
  <xdr:twoCellAnchor>
    <xdr:from>
      <xdr:col>0</xdr:col>
      <xdr:colOff>120718</xdr:colOff>
      <xdr:row>78</xdr:row>
      <xdr:rowOff>9525</xdr:rowOff>
    </xdr:from>
    <xdr:to>
      <xdr:col>11</xdr:col>
      <xdr:colOff>476250</xdr:colOff>
      <xdr:row>132</xdr:row>
      <xdr:rowOff>123825</xdr:rowOff>
    </xdr:to>
    <xdr:grpSp>
      <xdr:nvGrpSpPr>
        <xdr:cNvPr id="16" name="Group 15">
          <a:extLst>
            <a:ext uri="{FF2B5EF4-FFF2-40B4-BE49-F238E27FC236}">
              <a16:creationId xmlns:a16="http://schemas.microsoft.com/office/drawing/2014/main" id="{00000000-0008-0000-1100-000010000000}"/>
            </a:ext>
          </a:extLst>
        </xdr:cNvPr>
        <xdr:cNvGrpSpPr/>
      </xdr:nvGrpSpPr>
      <xdr:grpSpPr>
        <a:xfrm>
          <a:off x="120718" y="13395325"/>
          <a:ext cx="7759632" cy="9029700"/>
          <a:chOff x="120718" y="13154025"/>
          <a:chExt cx="7061132" cy="8858250"/>
        </a:xfrm>
      </xdr:grpSpPr>
      <xdr:grpSp>
        <xdr:nvGrpSpPr>
          <xdr:cNvPr id="137696" name="Group 137695">
            <a:extLst>
              <a:ext uri="{FF2B5EF4-FFF2-40B4-BE49-F238E27FC236}">
                <a16:creationId xmlns:a16="http://schemas.microsoft.com/office/drawing/2014/main" id="{00000000-0008-0000-1100-0000E0190200}"/>
              </a:ext>
            </a:extLst>
          </xdr:cNvPr>
          <xdr:cNvGrpSpPr/>
        </xdr:nvGrpSpPr>
        <xdr:grpSpPr>
          <a:xfrm>
            <a:off x="120718" y="13154025"/>
            <a:ext cx="7061132" cy="4724400"/>
            <a:chOff x="2701993" y="15363825"/>
            <a:chExt cx="7061132" cy="4724400"/>
          </a:xfrm>
        </xdr:grpSpPr>
        <xdr:grpSp>
          <xdr:nvGrpSpPr>
            <xdr:cNvPr id="4" name="Group 3">
              <a:extLst>
                <a:ext uri="{FF2B5EF4-FFF2-40B4-BE49-F238E27FC236}">
                  <a16:creationId xmlns:a16="http://schemas.microsoft.com/office/drawing/2014/main" id="{00000000-0008-0000-1100-000004000000}"/>
                </a:ext>
              </a:extLst>
            </xdr:cNvPr>
            <xdr:cNvGrpSpPr/>
          </xdr:nvGrpSpPr>
          <xdr:grpSpPr>
            <a:xfrm>
              <a:off x="2701993" y="15363825"/>
              <a:ext cx="6878878" cy="4724400"/>
              <a:chOff x="1854268" y="14030325"/>
              <a:chExt cx="6878878" cy="4724400"/>
            </a:xfrm>
          </xdr:grpSpPr>
          <xdr:sp macro="" textlink="">
            <xdr:nvSpPr>
              <xdr:cNvPr id="7" name="Freeform 6">
                <a:extLst>
                  <a:ext uri="{FF2B5EF4-FFF2-40B4-BE49-F238E27FC236}">
                    <a16:creationId xmlns:a16="http://schemas.microsoft.com/office/drawing/2014/main" id="{00000000-0008-0000-1100-000007000000}"/>
                  </a:ext>
                </a:extLst>
              </xdr:cNvPr>
              <xdr:cNvSpPr/>
            </xdr:nvSpPr>
            <xdr:spPr>
              <a:xfrm>
                <a:off x="1854268" y="16776080"/>
                <a:ext cx="519545" cy="736371"/>
              </a:xfrm>
              <a:custGeom>
                <a:avLst/>
                <a:gdLst>
                  <a:gd name="connsiteX0" fmla="*/ 473703 w 524639"/>
                  <a:gd name="connsiteY0" fmla="*/ 213930 h 738569"/>
                  <a:gd name="connsiteX1" fmla="*/ 117153 w 524639"/>
                  <a:gd name="connsiteY1" fmla="*/ 15280 h 738569"/>
                  <a:gd name="connsiteX2" fmla="*/ 66217 w 524639"/>
                  <a:gd name="connsiteY2" fmla="*/ 5093 h 738569"/>
                  <a:gd name="connsiteX3" fmla="*/ 30562 w 524639"/>
                  <a:gd name="connsiteY3" fmla="*/ 0 h 738569"/>
                  <a:gd name="connsiteX4" fmla="*/ 15281 w 524639"/>
                  <a:gd name="connsiteY4" fmla="*/ 20374 h 738569"/>
                  <a:gd name="connsiteX5" fmla="*/ 5094 w 524639"/>
                  <a:gd name="connsiteY5" fmla="*/ 56029 h 738569"/>
                  <a:gd name="connsiteX6" fmla="*/ 0 w 524639"/>
                  <a:gd name="connsiteY6" fmla="*/ 331083 h 738569"/>
                  <a:gd name="connsiteX7" fmla="*/ 15281 w 524639"/>
                  <a:gd name="connsiteY7" fmla="*/ 382018 h 738569"/>
                  <a:gd name="connsiteX8" fmla="*/ 20375 w 524639"/>
                  <a:gd name="connsiteY8" fmla="*/ 412580 h 738569"/>
                  <a:gd name="connsiteX9" fmla="*/ 35655 w 524639"/>
                  <a:gd name="connsiteY9" fmla="*/ 443141 h 738569"/>
                  <a:gd name="connsiteX10" fmla="*/ 56030 w 524639"/>
                  <a:gd name="connsiteY10" fmla="*/ 463516 h 738569"/>
                  <a:gd name="connsiteX11" fmla="*/ 96778 w 524639"/>
                  <a:gd name="connsiteY11" fmla="*/ 509358 h 738569"/>
                  <a:gd name="connsiteX12" fmla="*/ 524639 w 524639"/>
                  <a:gd name="connsiteY12" fmla="*/ 738569 h 738569"/>
                  <a:gd name="connsiteX13" fmla="*/ 463516 w 524639"/>
                  <a:gd name="connsiteY13" fmla="*/ 565387 h 738569"/>
                  <a:gd name="connsiteX14" fmla="*/ 473703 w 524639"/>
                  <a:gd name="connsiteY14" fmla="*/ 213930 h 738569"/>
                  <a:gd name="connsiteX0" fmla="*/ 473703 w 524639"/>
                  <a:gd name="connsiteY0" fmla="*/ 213930 h 738569"/>
                  <a:gd name="connsiteX1" fmla="*/ 117153 w 524639"/>
                  <a:gd name="connsiteY1" fmla="*/ 15280 h 738569"/>
                  <a:gd name="connsiteX2" fmla="*/ 66217 w 524639"/>
                  <a:gd name="connsiteY2" fmla="*/ 5093 h 738569"/>
                  <a:gd name="connsiteX3" fmla="*/ 30562 w 524639"/>
                  <a:gd name="connsiteY3" fmla="*/ 0 h 738569"/>
                  <a:gd name="connsiteX4" fmla="*/ 15281 w 524639"/>
                  <a:gd name="connsiteY4" fmla="*/ 20374 h 738569"/>
                  <a:gd name="connsiteX5" fmla="*/ 5094 w 524639"/>
                  <a:gd name="connsiteY5" fmla="*/ 56029 h 738569"/>
                  <a:gd name="connsiteX6" fmla="*/ 0 w 524639"/>
                  <a:gd name="connsiteY6" fmla="*/ 331083 h 738569"/>
                  <a:gd name="connsiteX7" fmla="*/ 15281 w 524639"/>
                  <a:gd name="connsiteY7" fmla="*/ 382018 h 738569"/>
                  <a:gd name="connsiteX8" fmla="*/ 20375 w 524639"/>
                  <a:gd name="connsiteY8" fmla="*/ 412580 h 738569"/>
                  <a:gd name="connsiteX9" fmla="*/ 35655 w 524639"/>
                  <a:gd name="connsiteY9" fmla="*/ 443141 h 738569"/>
                  <a:gd name="connsiteX10" fmla="*/ 56030 w 524639"/>
                  <a:gd name="connsiteY10" fmla="*/ 463516 h 738569"/>
                  <a:gd name="connsiteX11" fmla="*/ 96778 w 524639"/>
                  <a:gd name="connsiteY11" fmla="*/ 509358 h 738569"/>
                  <a:gd name="connsiteX12" fmla="*/ 524639 w 524639"/>
                  <a:gd name="connsiteY12" fmla="*/ 738569 h 738569"/>
                  <a:gd name="connsiteX13" fmla="*/ 494078 w 524639"/>
                  <a:gd name="connsiteY13" fmla="*/ 560293 h 738569"/>
                  <a:gd name="connsiteX14" fmla="*/ 473703 w 524639"/>
                  <a:gd name="connsiteY14" fmla="*/ 213930 h 738569"/>
                  <a:gd name="connsiteX0" fmla="*/ 473703 w 524639"/>
                  <a:gd name="connsiteY0" fmla="*/ 216022 h 740661"/>
                  <a:gd name="connsiteX1" fmla="*/ 117153 w 524639"/>
                  <a:gd name="connsiteY1" fmla="*/ 17372 h 740661"/>
                  <a:gd name="connsiteX2" fmla="*/ 66217 w 524639"/>
                  <a:gd name="connsiteY2" fmla="*/ 0 h 740661"/>
                  <a:gd name="connsiteX3" fmla="*/ 30562 w 524639"/>
                  <a:gd name="connsiteY3" fmla="*/ 2092 h 740661"/>
                  <a:gd name="connsiteX4" fmla="*/ 15281 w 524639"/>
                  <a:gd name="connsiteY4" fmla="*/ 22466 h 740661"/>
                  <a:gd name="connsiteX5" fmla="*/ 5094 w 524639"/>
                  <a:gd name="connsiteY5" fmla="*/ 58121 h 740661"/>
                  <a:gd name="connsiteX6" fmla="*/ 0 w 524639"/>
                  <a:gd name="connsiteY6" fmla="*/ 333175 h 740661"/>
                  <a:gd name="connsiteX7" fmla="*/ 15281 w 524639"/>
                  <a:gd name="connsiteY7" fmla="*/ 384110 h 740661"/>
                  <a:gd name="connsiteX8" fmla="*/ 20375 w 524639"/>
                  <a:gd name="connsiteY8" fmla="*/ 414672 h 740661"/>
                  <a:gd name="connsiteX9" fmla="*/ 35655 w 524639"/>
                  <a:gd name="connsiteY9" fmla="*/ 445233 h 740661"/>
                  <a:gd name="connsiteX10" fmla="*/ 56030 w 524639"/>
                  <a:gd name="connsiteY10" fmla="*/ 465608 h 740661"/>
                  <a:gd name="connsiteX11" fmla="*/ 96778 w 524639"/>
                  <a:gd name="connsiteY11" fmla="*/ 511450 h 740661"/>
                  <a:gd name="connsiteX12" fmla="*/ 524639 w 524639"/>
                  <a:gd name="connsiteY12" fmla="*/ 740661 h 740661"/>
                  <a:gd name="connsiteX13" fmla="*/ 494078 w 524639"/>
                  <a:gd name="connsiteY13" fmla="*/ 562385 h 740661"/>
                  <a:gd name="connsiteX14" fmla="*/ 473703 w 524639"/>
                  <a:gd name="connsiteY14" fmla="*/ 216022 h 740661"/>
                  <a:gd name="connsiteX0" fmla="*/ 468609 w 519545"/>
                  <a:gd name="connsiteY0" fmla="*/ 216022 h 740661"/>
                  <a:gd name="connsiteX1" fmla="*/ 112059 w 519545"/>
                  <a:gd name="connsiteY1" fmla="*/ 17372 h 740661"/>
                  <a:gd name="connsiteX2" fmla="*/ 61123 w 519545"/>
                  <a:gd name="connsiteY2" fmla="*/ 0 h 740661"/>
                  <a:gd name="connsiteX3" fmla="*/ 25468 w 519545"/>
                  <a:gd name="connsiteY3" fmla="*/ 2092 h 740661"/>
                  <a:gd name="connsiteX4" fmla="*/ 10187 w 519545"/>
                  <a:gd name="connsiteY4" fmla="*/ 22466 h 740661"/>
                  <a:gd name="connsiteX5" fmla="*/ 0 w 519545"/>
                  <a:gd name="connsiteY5" fmla="*/ 58121 h 740661"/>
                  <a:gd name="connsiteX6" fmla="*/ 2049 w 519545"/>
                  <a:gd name="connsiteY6" fmla="*/ 333175 h 740661"/>
                  <a:gd name="connsiteX7" fmla="*/ 10187 w 519545"/>
                  <a:gd name="connsiteY7" fmla="*/ 384110 h 740661"/>
                  <a:gd name="connsiteX8" fmla="*/ 15281 w 519545"/>
                  <a:gd name="connsiteY8" fmla="*/ 414672 h 740661"/>
                  <a:gd name="connsiteX9" fmla="*/ 30561 w 519545"/>
                  <a:gd name="connsiteY9" fmla="*/ 445233 h 740661"/>
                  <a:gd name="connsiteX10" fmla="*/ 50936 w 519545"/>
                  <a:gd name="connsiteY10" fmla="*/ 465608 h 740661"/>
                  <a:gd name="connsiteX11" fmla="*/ 91684 w 519545"/>
                  <a:gd name="connsiteY11" fmla="*/ 511450 h 740661"/>
                  <a:gd name="connsiteX12" fmla="*/ 519545 w 519545"/>
                  <a:gd name="connsiteY12" fmla="*/ 740661 h 740661"/>
                  <a:gd name="connsiteX13" fmla="*/ 488984 w 519545"/>
                  <a:gd name="connsiteY13" fmla="*/ 562385 h 740661"/>
                  <a:gd name="connsiteX14" fmla="*/ 468609 w 519545"/>
                  <a:gd name="connsiteY14" fmla="*/ 216022 h 740661"/>
                  <a:gd name="connsiteX0" fmla="*/ 468609 w 519545"/>
                  <a:gd name="connsiteY0" fmla="*/ 216022 h 740661"/>
                  <a:gd name="connsiteX1" fmla="*/ 112059 w 519545"/>
                  <a:gd name="connsiteY1" fmla="*/ 17372 h 740661"/>
                  <a:gd name="connsiteX2" fmla="*/ 61123 w 519545"/>
                  <a:gd name="connsiteY2" fmla="*/ 0 h 740661"/>
                  <a:gd name="connsiteX3" fmla="*/ 25468 w 519545"/>
                  <a:gd name="connsiteY3" fmla="*/ 2092 h 740661"/>
                  <a:gd name="connsiteX4" fmla="*/ 10187 w 519545"/>
                  <a:gd name="connsiteY4" fmla="*/ 22466 h 740661"/>
                  <a:gd name="connsiteX5" fmla="*/ 0 w 519545"/>
                  <a:gd name="connsiteY5" fmla="*/ 58121 h 740661"/>
                  <a:gd name="connsiteX6" fmla="*/ 2049 w 519545"/>
                  <a:gd name="connsiteY6" fmla="*/ 333175 h 740661"/>
                  <a:gd name="connsiteX7" fmla="*/ 10187 w 519545"/>
                  <a:gd name="connsiteY7" fmla="*/ 384110 h 740661"/>
                  <a:gd name="connsiteX8" fmla="*/ 15281 w 519545"/>
                  <a:gd name="connsiteY8" fmla="*/ 414672 h 740661"/>
                  <a:gd name="connsiteX9" fmla="*/ 30561 w 519545"/>
                  <a:gd name="connsiteY9" fmla="*/ 445233 h 740661"/>
                  <a:gd name="connsiteX10" fmla="*/ 55698 w 519545"/>
                  <a:gd name="connsiteY10" fmla="*/ 479978 h 740661"/>
                  <a:gd name="connsiteX11" fmla="*/ 91684 w 519545"/>
                  <a:gd name="connsiteY11" fmla="*/ 511450 h 740661"/>
                  <a:gd name="connsiteX12" fmla="*/ 519545 w 519545"/>
                  <a:gd name="connsiteY12" fmla="*/ 740661 h 740661"/>
                  <a:gd name="connsiteX13" fmla="*/ 488984 w 519545"/>
                  <a:gd name="connsiteY13" fmla="*/ 562385 h 740661"/>
                  <a:gd name="connsiteX14" fmla="*/ 468609 w 519545"/>
                  <a:gd name="connsiteY14" fmla="*/ 216022 h 740661"/>
                  <a:gd name="connsiteX0" fmla="*/ 468609 w 519545"/>
                  <a:gd name="connsiteY0" fmla="*/ 216022 h 740661"/>
                  <a:gd name="connsiteX1" fmla="*/ 112059 w 519545"/>
                  <a:gd name="connsiteY1" fmla="*/ 17372 h 740661"/>
                  <a:gd name="connsiteX2" fmla="*/ 61123 w 519545"/>
                  <a:gd name="connsiteY2" fmla="*/ 0 h 740661"/>
                  <a:gd name="connsiteX3" fmla="*/ 25468 w 519545"/>
                  <a:gd name="connsiteY3" fmla="*/ 2092 h 740661"/>
                  <a:gd name="connsiteX4" fmla="*/ 10187 w 519545"/>
                  <a:gd name="connsiteY4" fmla="*/ 22466 h 740661"/>
                  <a:gd name="connsiteX5" fmla="*/ 0 w 519545"/>
                  <a:gd name="connsiteY5" fmla="*/ 58121 h 740661"/>
                  <a:gd name="connsiteX6" fmla="*/ 2049 w 519545"/>
                  <a:gd name="connsiteY6" fmla="*/ 333175 h 740661"/>
                  <a:gd name="connsiteX7" fmla="*/ 7806 w 519545"/>
                  <a:gd name="connsiteY7" fmla="*/ 374529 h 740661"/>
                  <a:gd name="connsiteX8" fmla="*/ 15281 w 519545"/>
                  <a:gd name="connsiteY8" fmla="*/ 414672 h 740661"/>
                  <a:gd name="connsiteX9" fmla="*/ 30561 w 519545"/>
                  <a:gd name="connsiteY9" fmla="*/ 445233 h 740661"/>
                  <a:gd name="connsiteX10" fmla="*/ 55698 w 519545"/>
                  <a:gd name="connsiteY10" fmla="*/ 479978 h 740661"/>
                  <a:gd name="connsiteX11" fmla="*/ 91684 w 519545"/>
                  <a:gd name="connsiteY11" fmla="*/ 511450 h 740661"/>
                  <a:gd name="connsiteX12" fmla="*/ 519545 w 519545"/>
                  <a:gd name="connsiteY12" fmla="*/ 740661 h 740661"/>
                  <a:gd name="connsiteX13" fmla="*/ 488984 w 519545"/>
                  <a:gd name="connsiteY13" fmla="*/ 562385 h 740661"/>
                  <a:gd name="connsiteX14" fmla="*/ 468609 w 519545"/>
                  <a:gd name="connsiteY14" fmla="*/ 216022 h 74066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519545" h="740661">
                    <a:moveTo>
                      <a:pt x="468609" y="216022"/>
                    </a:moveTo>
                    <a:lnTo>
                      <a:pt x="112059" y="17372"/>
                    </a:lnTo>
                    <a:lnTo>
                      <a:pt x="61123" y="0"/>
                    </a:lnTo>
                    <a:lnTo>
                      <a:pt x="25468" y="2092"/>
                    </a:lnTo>
                    <a:lnTo>
                      <a:pt x="10187" y="22466"/>
                    </a:lnTo>
                    <a:lnTo>
                      <a:pt x="0" y="58121"/>
                    </a:lnTo>
                    <a:lnTo>
                      <a:pt x="2049" y="333175"/>
                    </a:lnTo>
                    <a:lnTo>
                      <a:pt x="7806" y="374529"/>
                    </a:lnTo>
                    <a:lnTo>
                      <a:pt x="15281" y="414672"/>
                    </a:lnTo>
                    <a:lnTo>
                      <a:pt x="30561" y="445233"/>
                    </a:lnTo>
                    <a:lnTo>
                      <a:pt x="55698" y="479978"/>
                    </a:lnTo>
                    <a:lnTo>
                      <a:pt x="91684" y="511450"/>
                    </a:lnTo>
                    <a:lnTo>
                      <a:pt x="519545" y="740661"/>
                    </a:lnTo>
                    <a:lnTo>
                      <a:pt x="488984" y="562385"/>
                    </a:lnTo>
                    <a:lnTo>
                      <a:pt x="468609" y="216022"/>
                    </a:lnTo>
                    <a:close/>
                  </a:path>
                </a:pathLst>
              </a:custGeom>
              <a:gradFill>
                <a:gsLst>
                  <a:gs pos="0">
                    <a:srgbClr val="CCFFCC"/>
                  </a:gs>
                  <a:gs pos="39999">
                    <a:srgbClr val="E1E8F5"/>
                  </a:gs>
                  <a:gs pos="70000">
                    <a:srgbClr val="CCFFFF"/>
                  </a:gs>
                  <a:gs pos="100000">
                    <a:srgbClr val="CCFFFF"/>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2443" name="Freeform 761">
                <a:extLst>
                  <a:ext uri="{FF2B5EF4-FFF2-40B4-BE49-F238E27FC236}">
                    <a16:creationId xmlns:a16="http://schemas.microsoft.com/office/drawing/2014/main" id="{00000000-0008-0000-1100-00009B300000}"/>
                  </a:ext>
                </a:extLst>
              </xdr:cNvPr>
              <xdr:cNvSpPr>
                <a:spLocks/>
              </xdr:cNvSpPr>
            </xdr:nvSpPr>
            <xdr:spPr bwMode="auto">
              <a:xfrm>
                <a:off x="4676775" y="15001875"/>
                <a:ext cx="3676650" cy="3705225"/>
              </a:xfrm>
              <a:custGeom>
                <a:avLst/>
                <a:gdLst>
                  <a:gd name="T0" fmla="*/ 28771 w 10000"/>
                  <a:gd name="T1" fmla="*/ 1819990 h 10000"/>
                  <a:gd name="T2" fmla="*/ 3502659 w 10000"/>
                  <a:gd name="T3" fmla="*/ 0 h 10000"/>
                  <a:gd name="T4" fmla="*/ 3657947 w 10000"/>
                  <a:gd name="T5" fmla="*/ 180433 h 10000"/>
                  <a:gd name="T6" fmla="*/ 3638766 w 10000"/>
                  <a:gd name="T7" fmla="*/ 103637 h 10000"/>
                  <a:gd name="T8" fmla="*/ 3585651 w 10000"/>
                  <a:gd name="T9" fmla="*/ 47718 h 10000"/>
                  <a:gd name="T10" fmla="*/ 3676759 w 10000"/>
                  <a:gd name="T11" fmla="*/ 247536 h 10000"/>
                  <a:gd name="T12" fmla="*/ 3686349 w 10000"/>
                  <a:gd name="T13" fmla="*/ 1417370 h 10000"/>
                  <a:gd name="T14" fmla="*/ 3676759 w 10000"/>
                  <a:gd name="T15" fmla="*/ 1474780 h 10000"/>
                  <a:gd name="T16" fmla="*/ 3657947 w 10000"/>
                  <a:gd name="T17" fmla="*/ 1513178 h 10000"/>
                  <a:gd name="T18" fmla="*/ 3619586 w 10000"/>
                  <a:gd name="T19" fmla="*/ 1542257 h 10000"/>
                  <a:gd name="T20" fmla="*/ 0 w 10000"/>
                  <a:gd name="T21" fmla="*/ 3727959 h 10000"/>
                  <a:gd name="T22" fmla="*/ 28771 w 10000"/>
                  <a:gd name="T23" fmla="*/ 3689561 h 10000"/>
                  <a:gd name="T24" fmla="*/ 37992 w 10000"/>
                  <a:gd name="T25" fmla="*/ 1916171 h 10000"/>
                  <a:gd name="T26" fmla="*/ 47582 w 10000"/>
                  <a:gd name="T27" fmla="*/ 1877773 h 10000"/>
                  <a:gd name="T28" fmla="*/ 28771 w 10000"/>
                  <a:gd name="T29" fmla="*/ 1819990 h 1000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0000" h="10000">
                    <a:moveTo>
                      <a:pt x="78" y="4882"/>
                    </a:moveTo>
                    <a:lnTo>
                      <a:pt x="9496" y="0"/>
                    </a:lnTo>
                    <a:lnTo>
                      <a:pt x="9917" y="484"/>
                    </a:lnTo>
                    <a:cubicBezTo>
                      <a:pt x="9900" y="415"/>
                      <a:pt x="9882" y="347"/>
                      <a:pt x="9865" y="278"/>
                    </a:cubicBezTo>
                    <a:lnTo>
                      <a:pt x="9721" y="128"/>
                    </a:lnTo>
                    <a:cubicBezTo>
                      <a:pt x="9773" y="154"/>
                      <a:pt x="9917" y="21"/>
                      <a:pt x="9968" y="664"/>
                    </a:cubicBezTo>
                    <a:cubicBezTo>
                      <a:pt x="10020" y="1281"/>
                      <a:pt x="9994" y="3261"/>
                      <a:pt x="9994" y="3802"/>
                    </a:cubicBezTo>
                    <a:cubicBezTo>
                      <a:pt x="9985" y="3853"/>
                      <a:pt x="9977" y="3905"/>
                      <a:pt x="9968" y="3956"/>
                    </a:cubicBezTo>
                    <a:cubicBezTo>
                      <a:pt x="9951" y="3990"/>
                      <a:pt x="9934" y="4025"/>
                      <a:pt x="9917" y="4059"/>
                    </a:cubicBezTo>
                    <a:lnTo>
                      <a:pt x="9813" y="4137"/>
                    </a:lnTo>
                    <a:lnTo>
                      <a:pt x="0" y="10000"/>
                    </a:lnTo>
                    <a:cubicBezTo>
                      <a:pt x="26" y="9966"/>
                      <a:pt x="52" y="9931"/>
                      <a:pt x="78" y="9897"/>
                    </a:cubicBezTo>
                    <a:cubicBezTo>
                      <a:pt x="86" y="8311"/>
                      <a:pt x="95" y="6725"/>
                      <a:pt x="103" y="5140"/>
                    </a:cubicBezTo>
                    <a:cubicBezTo>
                      <a:pt x="112" y="5105"/>
                      <a:pt x="120" y="5071"/>
                      <a:pt x="129" y="5037"/>
                    </a:cubicBezTo>
                    <a:cubicBezTo>
                      <a:pt x="112" y="4985"/>
                      <a:pt x="95" y="4933"/>
                      <a:pt x="78" y="4882"/>
                    </a:cubicBezTo>
                    <a:close/>
                  </a:path>
                </a:pathLst>
              </a:custGeom>
              <a:gradFill rotWithShape="1">
                <a:gsLst>
                  <a:gs pos="0">
                    <a:srgbClr val="CCFFCC"/>
                  </a:gs>
                  <a:gs pos="100000">
                    <a:srgbClr val="99FFCC"/>
                  </a:gs>
                </a:gsLst>
                <a:path path="rect">
                  <a:fillToRect l="50000" t="50000" r="50000" b="50000"/>
                </a:path>
              </a:gradFill>
              <a:ln w="19050" cmpd="sng">
                <a:solidFill>
                  <a:srgbClr val="000000"/>
                </a:solidFill>
                <a:round/>
                <a:headEnd/>
                <a:tailEnd/>
              </a:ln>
            </xdr:spPr>
          </xdr:sp>
          <xdr:sp macro="" textlink="">
            <xdr:nvSpPr>
              <xdr:cNvPr id="12444" name="Freeform 762">
                <a:extLst>
                  <a:ext uri="{FF2B5EF4-FFF2-40B4-BE49-F238E27FC236}">
                    <a16:creationId xmlns:a16="http://schemas.microsoft.com/office/drawing/2014/main" id="{00000000-0008-0000-1100-00009C300000}"/>
                  </a:ext>
                </a:extLst>
              </xdr:cNvPr>
              <xdr:cNvSpPr>
                <a:spLocks/>
              </xdr:cNvSpPr>
            </xdr:nvSpPr>
            <xdr:spPr bwMode="auto">
              <a:xfrm>
                <a:off x="2352675" y="14030325"/>
                <a:ext cx="6362700" cy="3533775"/>
              </a:xfrm>
              <a:custGeom>
                <a:avLst/>
                <a:gdLst>
                  <a:gd name="T0" fmla="*/ 2772361 w 10615"/>
                  <a:gd name="T1" fmla="*/ 3409778 h 10739"/>
                  <a:gd name="T2" fmla="*/ 2721399 w 10615"/>
                  <a:gd name="T3" fmla="*/ 3327655 h 10739"/>
                  <a:gd name="T4" fmla="*/ 94131 w 10615"/>
                  <a:gd name="T5" fmla="*/ 1960458 h 10739"/>
                  <a:gd name="T6" fmla="*/ 37173 w 10615"/>
                  <a:gd name="T7" fmla="*/ 1948304 h 10739"/>
                  <a:gd name="T8" fmla="*/ 0 w 10615"/>
                  <a:gd name="T9" fmla="*/ 1919396 h 10739"/>
                  <a:gd name="T10" fmla="*/ 3503823 w 10615"/>
                  <a:gd name="T11" fmla="*/ 12811 h 10739"/>
                  <a:gd name="T12" fmla="*/ 3564378 w 10615"/>
                  <a:gd name="T13" fmla="*/ 0 h 10739"/>
                  <a:gd name="T14" fmla="*/ 3632128 w 10615"/>
                  <a:gd name="T15" fmla="*/ 9855 h 10739"/>
                  <a:gd name="T16" fmla="*/ 6218626 w 10615"/>
                  <a:gd name="T17" fmla="*/ 1130023 h 10739"/>
                  <a:gd name="T18" fmla="*/ 6265991 w 10615"/>
                  <a:gd name="T19" fmla="*/ 1165172 h 10739"/>
                  <a:gd name="T20" fmla="*/ 6329545 w 10615"/>
                  <a:gd name="T21" fmla="*/ 1217402 h 10739"/>
                  <a:gd name="T22" fmla="*/ 6340936 w 10615"/>
                  <a:gd name="T23" fmla="*/ 1272261 h 10739"/>
                  <a:gd name="T24" fmla="*/ 6364319 w 10615"/>
                  <a:gd name="T25" fmla="*/ 1327120 h 10739"/>
                  <a:gd name="T26" fmla="*/ 2801739 w 10615"/>
                  <a:gd name="T27" fmla="*/ 3527708 h 10739"/>
                  <a:gd name="T28" fmla="*/ 2772361 w 10615"/>
                  <a:gd name="T29" fmla="*/ 3409778 h 1073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0615" h="10739">
                    <a:moveTo>
                      <a:pt x="4624" y="10380"/>
                    </a:moveTo>
                    <a:cubicBezTo>
                      <a:pt x="4581" y="10304"/>
                      <a:pt x="4582" y="10207"/>
                      <a:pt x="4539" y="10130"/>
                    </a:cubicBezTo>
                    <a:lnTo>
                      <a:pt x="157" y="5968"/>
                    </a:lnTo>
                    <a:cubicBezTo>
                      <a:pt x="125" y="5956"/>
                      <a:pt x="94" y="5943"/>
                      <a:pt x="62" y="5931"/>
                    </a:cubicBezTo>
                    <a:cubicBezTo>
                      <a:pt x="39" y="5894"/>
                      <a:pt x="23" y="5880"/>
                      <a:pt x="0" y="5843"/>
                    </a:cubicBezTo>
                    <a:lnTo>
                      <a:pt x="5844" y="39"/>
                    </a:lnTo>
                    <a:lnTo>
                      <a:pt x="5945" y="0"/>
                    </a:lnTo>
                    <a:lnTo>
                      <a:pt x="6058" y="30"/>
                    </a:lnTo>
                    <a:lnTo>
                      <a:pt x="10372" y="3440"/>
                    </a:lnTo>
                    <a:cubicBezTo>
                      <a:pt x="10409" y="3507"/>
                      <a:pt x="10414" y="3480"/>
                      <a:pt x="10451" y="3547"/>
                    </a:cubicBezTo>
                    <a:cubicBezTo>
                      <a:pt x="10472" y="3662"/>
                      <a:pt x="10536" y="3590"/>
                      <a:pt x="10557" y="3706"/>
                    </a:cubicBezTo>
                    <a:cubicBezTo>
                      <a:pt x="10546" y="3648"/>
                      <a:pt x="10587" y="3931"/>
                      <a:pt x="10576" y="3873"/>
                    </a:cubicBezTo>
                    <a:cubicBezTo>
                      <a:pt x="10592" y="3979"/>
                      <a:pt x="10599" y="3935"/>
                      <a:pt x="10615" y="4040"/>
                    </a:cubicBezTo>
                    <a:lnTo>
                      <a:pt x="4673" y="10739"/>
                    </a:lnTo>
                    <a:cubicBezTo>
                      <a:pt x="4657" y="10613"/>
                      <a:pt x="4639" y="10506"/>
                      <a:pt x="4624" y="10380"/>
                    </a:cubicBezTo>
                    <a:close/>
                  </a:path>
                </a:pathLst>
              </a:custGeom>
              <a:gradFill rotWithShape="1">
                <a:gsLst>
                  <a:gs pos="0">
                    <a:srgbClr val="CCFFCC"/>
                  </a:gs>
                  <a:gs pos="50000">
                    <a:srgbClr val="69FFFF"/>
                  </a:gs>
                  <a:gs pos="100000">
                    <a:srgbClr val="CCFFCC"/>
                  </a:gs>
                </a:gsLst>
                <a:lin ang="2700000" scaled="1"/>
              </a:gradFill>
              <a:ln w="19050" cmpd="sng">
                <a:solidFill>
                  <a:srgbClr val="000000"/>
                </a:solidFill>
                <a:round/>
                <a:headEnd/>
                <a:tailEnd/>
              </a:ln>
            </xdr:spPr>
          </xdr:sp>
          <xdr:sp macro="" textlink="">
            <xdr:nvSpPr>
              <xdr:cNvPr id="12445" name="Freeform 764">
                <a:extLst>
                  <a:ext uri="{FF2B5EF4-FFF2-40B4-BE49-F238E27FC236}">
                    <a16:creationId xmlns:a16="http://schemas.microsoft.com/office/drawing/2014/main" id="{00000000-0008-0000-1100-00009D300000}"/>
                  </a:ext>
                </a:extLst>
              </xdr:cNvPr>
              <xdr:cNvSpPr>
                <a:spLocks/>
              </xdr:cNvSpPr>
            </xdr:nvSpPr>
            <xdr:spPr bwMode="auto">
              <a:xfrm>
                <a:off x="5105400" y="15154275"/>
                <a:ext cx="3619500" cy="2371725"/>
              </a:xfrm>
              <a:custGeom>
                <a:avLst/>
                <a:gdLst>
                  <a:gd name="T0" fmla="*/ 103416 w 10017"/>
                  <a:gd name="T1" fmla="*/ 2394345 h 10133"/>
                  <a:gd name="T2" fmla="*/ 81075 w 10017"/>
                  <a:gd name="T3" fmla="*/ 2287777 h 10133"/>
                  <a:gd name="T4" fmla="*/ 0 w 10017"/>
                  <a:gd name="T5" fmla="*/ 2182628 h 10133"/>
                  <a:gd name="T6" fmla="*/ 3499932 w 10017"/>
                  <a:gd name="T7" fmla="*/ 0 h 10133"/>
                  <a:gd name="T8" fmla="*/ 3572360 w 10017"/>
                  <a:gd name="T9" fmla="*/ 86719 h 10133"/>
                  <a:gd name="T10" fmla="*/ 3609474 w 10017"/>
                  <a:gd name="T11" fmla="*/ 195650 h 10133"/>
                  <a:gd name="T12" fmla="*/ 103416 w 10017"/>
                  <a:gd name="T13" fmla="*/ 2394345 h 1013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0017" h="10133">
                    <a:moveTo>
                      <a:pt x="287" y="10133"/>
                    </a:moveTo>
                    <a:cubicBezTo>
                      <a:pt x="261" y="9930"/>
                      <a:pt x="252" y="9885"/>
                      <a:pt x="225" y="9682"/>
                    </a:cubicBezTo>
                    <a:cubicBezTo>
                      <a:pt x="156" y="9534"/>
                      <a:pt x="70" y="9386"/>
                      <a:pt x="0" y="9237"/>
                    </a:cubicBezTo>
                    <a:lnTo>
                      <a:pt x="9713" y="0"/>
                    </a:lnTo>
                    <a:cubicBezTo>
                      <a:pt x="9791" y="149"/>
                      <a:pt x="9836" y="217"/>
                      <a:pt x="9914" y="367"/>
                    </a:cubicBezTo>
                    <a:cubicBezTo>
                      <a:pt x="9932" y="556"/>
                      <a:pt x="10000" y="638"/>
                      <a:pt x="10017" y="828"/>
                    </a:cubicBezTo>
                    <a:lnTo>
                      <a:pt x="287" y="10133"/>
                    </a:lnTo>
                    <a:close/>
                  </a:path>
                </a:pathLst>
              </a:custGeom>
              <a:gradFill rotWithShape="1">
                <a:gsLst>
                  <a:gs pos="0">
                    <a:srgbClr val="DDDDDD"/>
                  </a:gs>
                  <a:gs pos="100000">
                    <a:srgbClr val="CCFFCC"/>
                  </a:gs>
                </a:gsLst>
                <a:path path="rect">
                  <a:fillToRect l="50000" t="50000" r="50000" b="50000"/>
                </a:path>
              </a:gradFill>
              <a:ln w="9525">
                <a:noFill/>
                <a:round/>
                <a:headEnd/>
                <a:tailEnd/>
              </a:ln>
            </xdr:spPr>
          </xdr:sp>
          <xdr:grpSp>
            <xdr:nvGrpSpPr>
              <xdr:cNvPr id="12446" name="Group 765">
                <a:extLst>
                  <a:ext uri="{FF2B5EF4-FFF2-40B4-BE49-F238E27FC236}">
                    <a16:creationId xmlns:a16="http://schemas.microsoft.com/office/drawing/2014/main" id="{00000000-0008-0000-1100-00009E300000}"/>
                  </a:ext>
                </a:extLst>
              </xdr:cNvPr>
              <xdr:cNvGrpSpPr>
                <a:grpSpLocks/>
              </xdr:cNvGrpSpPr>
            </xdr:nvGrpSpPr>
            <xdr:grpSpPr bwMode="auto">
              <a:xfrm>
                <a:off x="4514850" y="18583275"/>
                <a:ext cx="161925" cy="171450"/>
                <a:chOff x="2867025" y="5172075"/>
                <a:chExt cx="17" cy="18"/>
              </a:xfrm>
            </xdr:grpSpPr>
            <xdr:sp macro="" textlink="">
              <xdr:nvSpPr>
                <xdr:cNvPr id="12547" name="Freeform 872">
                  <a:extLst>
                    <a:ext uri="{FF2B5EF4-FFF2-40B4-BE49-F238E27FC236}">
                      <a16:creationId xmlns:a16="http://schemas.microsoft.com/office/drawing/2014/main" id="{00000000-0008-0000-1100-000003310000}"/>
                    </a:ext>
                  </a:extLst>
                </xdr:cNvPr>
                <xdr:cNvSpPr>
                  <a:spLocks/>
                </xdr:cNvSpPr>
              </xdr:nvSpPr>
              <xdr:spPr bwMode="auto">
                <a:xfrm>
                  <a:off x="2867029" y="517207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8" name="Freeform 873">
                  <a:extLst>
                    <a:ext uri="{FF2B5EF4-FFF2-40B4-BE49-F238E27FC236}">
                      <a16:creationId xmlns:a16="http://schemas.microsoft.com/office/drawing/2014/main" id="{00000000-0008-0000-1100-000004310000}"/>
                    </a:ext>
                  </a:extLst>
                </xdr:cNvPr>
                <xdr:cNvSpPr>
                  <a:spLocks/>
                </xdr:cNvSpPr>
              </xdr:nvSpPr>
              <xdr:spPr bwMode="auto">
                <a:xfrm>
                  <a:off x="2867025" y="517207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9" name="Freeform 874">
                  <a:extLst>
                    <a:ext uri="{FF2B5EF4-FFF2-40B4-BE49-F238E27FC236}">
                      <a16:creationId xmlns:a16="http://schemas.microsoft.com/office/drawing/2014/main" id="{00000000-0008-0000-1100-000005310000}"/>
                    </a:ext>
                  </a:extLst>
                </xdr:cNvPr>
                <xdr:cNvSpPr>
                  <a:spLocks/>
                </xdr:cNvSpPr>
              </xdr:nvSpPr>
              <xdr:spPr bwMode="auto">
                <a:xfrm>
                  <a:off x="2867028" y="517207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50" name="Freeform 875">
                  <a:extLst>
                    <a:ext uri="{FF2B5EF4-FFF2-40B4-BE49-F238E27FC236}">
                      <a16:creationId xmlns:a16="http://schemas.microsoft.com/office/drawing/2014/main" id="{00000000-0008-0000-1100-000006310000}"/>
                    </a:ext>
                  </a:extLst>
                </xdr:cNvPr>
                <xdr:cNvSpPr>
                  <a:spLocks/>
                </xdr:cNvSpPr>
              </xdr:nvSpPr>
              <xdr:spPr bwMode="auto">
                <a:xfrm>
                  <a:off x="2867035" y="517207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51" name="Freeform 876">
                  <a:extLst>
                    <a:ext uri="{FF2B5EF4-FFF2-40B4-BE49-F238E27FC236}">
                      <a16:creationId xmlns:a16="http://schemas.microsoft.com/office/drawing/2014/main" id="{00000000-0008-0000-1100-000007310000}"/>
                    </a:ext>
                  </a:extLst>
                </xdr:cNvPr>
                <xdr:cNvSpPr>
                  <a:spLocks/>
                </xdr:cNvSpPr>
              </xdr:nvSpPr>
              <xdr:spPr bwMode="auto">
                <a:xfrm>
                  <a:off x="2867035" y="517208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47" name="Group 766">
                <a:extLst>
                  <a:ext uri="{FF2B5EF4-FFF2-40B4-BE49-F238E27FC236}">
                    <a16:creationId xmlns:a16="http://schemas.microsoft.com/office/drawing/2014/main" id="{00000000-0008-0000-1100-00009F300000}"/>
                  </a:ext>
                </a:extLst>
              </xdr:cNvPr>
              <xdr:cNvGrpSpPr>
                <a:grpSpLocks/>
              </xdr:cNvGrpSpPr>
            </xdr:nvGrpSpPr>
            <xdr:grpSpPr bwMode="auto">
              <a:xfrm>
                <a:off x="3771900" y="18183225"/>
                <a:ext cx="161925" cy="171450"/>
                <a:chOff x="2124075" y="4772025"/>
                <a:chExt cx="17" cy="18"/>
              </a:xfrm>
            </xdr:grpSpPr>
            <xdr:sp macro="" textlink="">
              <xdr:nvSpPr>
                <xdr:cNvPr id="12542" name="Freeform 867">
                  <a:extLst>
                    <a:ext uri="{FF2B5EF4-FFF2-40B4-BE49-F238E27FC236}">
                      <a16:creationId xmlns:a16="http://schemas.microsoft.com/office/drawing/2014/main" id="{00000000-0008-0000-1100-0000FE300000}"/>
                    </a:ext>
                  </a:extLst>
                </xdr:cNvPr>
                <xdr:cNvSpPr>
                  <a:spLocks/>
                </xdr:cNvSpPr>
              </xdr:nvSpPr>
              <xdr:spPr bwMode="auto">
                <a:xfrm>
                  <a:off x="2124079" y="47720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3" name="Freeform 868">
                  <a:extLst>
                    <a:ext uri="{FF2B5EF4-FFF2-40B4-BE49-F238E27FC236}">
                      <a16:creationId xmlns:a16="http://schemas.microsoft.com/office/drawing/2014/main" id="{00000000-0008-0000-1100-0000FF300000}"/>
                    </a:ext>
                  </a:extLst>
                </xdr:cNvPr>
                <xdr:cNvSpPr>
                  <a:spLocks/>
                </xdr:cNvSpPr>
              </xdr:nvSpPr>
              <xdr:spPr bwMode="auto">
                <a:xfrm>
                  <a:off x="2124075" y="47720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4" name="Freeform 869">
                  <a:extLst>
                    <a:ext uri="{FF2B5EF4-FFF2-40B4-BE49-F238E27FC236}">
                      <a16:creationId xmlns:a16="http://schemas.microsoft.com/office/drawing/2014/main" id="{00000000-0008-0000-1100-000000310000}"/>
                    </a:ext>
                  </a:extLst>
                </xdr:cNvPr>
                <xdr:cNvSpPr>
                  <a:spLocks/>
                </xdr:cNvSpPr>
              </xdr:nvSpPr>
              <xdr:spPr bwMode="auto">
                <a:xfrm>
                  <a:off x="2124078" y="47720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45" name="Freeform 870">
                  <a:extLst>
                    <a:ext uri="{FF2B5EF4-FFF2-40B4-BE49-F238E27FC236}">
                      <a16:creationId xmlns:a16="http://schemas.microsoft.com/office/drawing/2014/main" id="{00000000-0008-0000-1100-000001310000}"/>
                    </a:ext>
                  </a:extLst>
                </xdr:cNvPr>
                <xdr:cNvSpPr>
                  <a:spLocks/>
                </xdr:cNvSpPr>
              </xdr:nvSpPr>
              <xdr:spPr bwMode="auto">
                <a:xfrm>
                  <a:off x="2124085" y="47720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46" name="Freeform 871">
                  <a:extLst>
                    <a:ext uri="{FF2B5EF4-FFF2-40B4-BE49-F238E27FC236}">
                      <a16:creationId xmlns:a16="http://schemas.microsoft.com/office/drawing/2014/main" id="{00000000-0008-0000-1100-000002310000}"/>
                    </a:ext>
                  </a:extLst>
                </xdr:cNvPr>
                <xdr:cNvSpPr>
                  <a:spLocks/>
                </xdr:cNvSpPr>
              </xdr:nvSpPr>
              <xdr:spPr bwMode="auto">
                <a:xfrm>
                  <a:off x="2124085" y="47720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sp macro="" textlink="">
            <xdr:nvSpPr>
              <xdr:cNvPr id="12448" name="Freeform 763">
                <a:extLst>
                  <a:ext uri="{FF2B5EF4-FFF2-40B4-BE49-F238E27FC236}">
                    <a16:creationId xmlns:a16="http://schemas.microsoft.com/office/drawing/2014/main" id="{00000000-0008-0000-1100-0000A0300000}"/>
                  </a:ext>
                </a:extLst>
              </xdr:cNvPr>
              <xdr:cNvSpPr>
                <a:spLocks/>
              </xdr:cNvSpPr>
            </xdr:nvSpPr>
            <xdr:spPr bwMode="auto">
              <a:xfrm>
                <a:off x="2324100" y="15925800"/>
                <a:ext cx="2390775" cy="2828925"/>
              </a:xfrm>
              <a:custGeom>
                <a:avLst/>
                <a:gdLst>
                  <a:gd name="T0" fmla="*/ 2393246 w 10000"/>
                  <a:gd name="T1" fmla="*/ 1380764 h 10000"/>
                  <a:gd name="T2" fmla="*/ 2393246 w 10000"/>
                  <a:gd name="T3" fmla="*/ 2733523 h 10000"/>
                  <a:gd name="T4" fmla="*/ 2336287 w 10000"/>
                  <a:gd name="T5" fmla="*/ 2800284 h 10000"/>
                  <a:gd name="T6" fmla="*/ 2279567 w 10000"/>
                  <a:gd name="T7" fmla="*/ 2828855 h 10000"/>
                  <a:gd name="T8" fmla="*/ 2194128 w 10000"/>
                  <a:gd name="T9" fmla="*/ 2790948 h 10000"/>
                  <a:gd name="T10" fmla="*/ 56959 w 10000"/>
                  <a:gd name="T11" fmla="*/ 1583593 h 10000"/>
                  <a:gd name="T12" fmla="*/ 21061 w 10000"/>
                  <a:gd name="T13" fmla="*/ 1516832 h 10000"/>
                  <a:gd name="T14" fmla="*/ 3829 w 10000"/>
                  <a:gd name="T15" fmla="*/ 1452617 h 10000"/>
                  <a:gd name="T16" fmla="*/ 0 w 10000"/>
                  <a:gd name="T17" fmla="*/ 1361811 h 10000"/>
                  <a:gd name="T18" fmla="*/ 3351 w 10000"/>
                  <a:gd name="T19" fmla="*/ 85714 h 10000"/>
                  <a:gd name="T20" fmla="*/ 16992 w 10000"/>
                  <a:gd name="T21" fmla="*/ 43564 h 10000"/>
                  <a:gd name="T22" fmla="*/ 50976 w 10000"/>
                  <a:gd name="T23" fmla="*/ 9052 h 10000"/>
                  <a:gd name="T24" fmla="*/ 117269 w 10000"/>
                  <a:gd name="T25" fmla="*/ 0 h 10000"/>
                  <a:gd name="T26" fmla="*/ 183801 w 10000"/>
                  <a:gd name="T27" fmla="*/ 28571 h 10000"/>
                  <a:gd name="T28" fmla="*/ 2279567 w 10000"/>
                  <a:gd name="T29" fmla="*/ 1133522 h 10000"/>
                  <a:gd name="T30" fmla="*/ 2358783 w 10000"/>
                  <a:gd name="T31" fmla="*/ 1203678 h 10000"/>
                  <a:gd name="T32" fmla="*/ 2387742 w 10000"/>
                  <a:gd name="T33" fmla="*/ 1294201 h 10000"/>
                  <a:gd name="T34" fmla="*/ 2393246 w 10000"/>
                  <a:gd name="T35" fmla="*/ 1380764 h 10000"/>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10000" h="10000">
                    <a:moveTo>
                      <a:pt x="10000" y="4881"/>
                    </a:moveTo>
                    <a:lnTo>
                      <a:pt x="10000" y="9663"/>
                    </a:lnTo>
                    <a:cubicBezTo>
                      <a:pt x="9921" y="9743"/>
                      <a:pt x="9842" y="9821"/>
                      <a:pt x="9762" y="9899"/>
                    </a:cubicBezTo>
                    <a:lnTo>
                      <a:pt x="9525" y="10000"/>
                    </a:lnTo>
                    <a:lnTo>
                      <a:pt x="9168" y="9866"/>
                    </a:lnTo>
                    <a:lnTo>
                      <a:pt x="238" y="5598"/>
                    </a:lnTo>
                    <a:cubicBezTo>
                      <a:pt x="210" y="5506"/>
                      <a:pt x="116" y="5454"/>
                      <a:pt x="88" y="5362"/>
                    </a:cubicBezTo>
                    <a:cubicBezTo>
                      <a:pt x="48" y="5283"/>
                      <a:pt x="56" y="5213"/>
                      <a:pt x="16" y="5135"/>
                    </a:cubicBezTo>
                    <a:cubicBezTo>
                      <a:pt x="3" y="5066"/>
                      <a:pt x="13" y="4881"/>
                      <a:pt x="0" y="4814"/>
                    </a:cubicBezTo>
                    <a:cubicBezTo>
                      <a:pt x="28" y="3310"/>
                      <a:pt x="-11" y="1807"/>
                      <a:pt x="14" y="303"/>
                    </a:cubicBezTo>
                    <a:cubicBezTo>
                      <a:pt x="28" y="257"/>
                      <a:pt x="57" y="199"/>
                      <a:pt x="71" y="154"/>
                    </a:cubicBezTo>
                    <a:cubicBezTo>
                      <a:pt x="111" y="97"/>
                      <a:pt x="173" y="89"/>
                      <a:pt x="213" y="32"/>
                    </a:cubicBezTo>
                    <a:lnTo>
                      <a:pt x="490" y="0"/>
                    </a:lnTo>
                    <a:lnTo>
                      <a:pt x="768" y="101"/>
                    </a:lnTo>
                    <a:lnTo>
                      <a:pt x="9525" y="4007"/>
                    </a:lnTo>
                    <a:cubicBezTo>
                      <a:pt x="9618" y="4097"/>
                      <a:pt x="9763" y="4165"/>
                      <a:pt x="9856" y="4255"/>
                    </a:cubicBezTo>
                    <a:cubicBezTo>
                      <a:pt x="9909" y="4344"/>
                      <a:pt x="9983" y="4468"/>
                      <a:pt x="9977" y="4575"/>
                    </a:cubicBezTo>
                    <a:cubicBezTo>
                      <a:pt x="9990" y="4687"/>
                      <a:pt x="9988" y="4770"/>
                      <a:pt x="10000" y="4881"/>
                    </a:cubicBezTo>
                    <a:close/>
                  </a:path>
                </a:pathLst>
              </a:custGeom>
              <a:gradFill rotWithShape="1">
                <a:gsLst>
                  <a:gs pos="0">
                    <a:srgbClr val="69FFFF"/>
                  </a:gs>
                  <a:gs pos="100000">
                    <a:srgbClr val="CCFFCC"/>
                  </a:gs>
                </a:gsLst>
                <a:lin ang="18900000" scaled="1"/>
              </a:gradFill>
              <a:ln w="19050" cmpd="sng">
                <a:solidFill>
                  <a:srgbClr val="000000"/>
                </a:solidFill>
                <a:round/>
                <a:headEnd/>
                <a:tailEnd/>
              </a:ln>
            </xdr:spPr>
          </xdr:sp>
          <xdr:grpSp>
            <xdr:nvGrpSpPr>
              <xdr:cNvPr id="12449" name="Group 767">
                <a:extLst>
                  <a:ext uri="{FF2B5EF4-FFF2-40B4-BE49-F238E27FC236}">
                    <a16:creationId xmlns:a16="http://schemas.microsoft.com/office/drawing/2014/main" id="{00000000-0008-0000-1100-0000A1300000}"/>
                  </a:ext>
                </a:extLst>
              </xdr:cNvPr>
              <xdr:cNvGrpSpPr>
                <a:grpSpLocks/>
              </xdr:cNvGrpSpPr>
            </xdr:nvGrpSpPr>
            <xdr:grpSpPr bwMode="auto">
              <a:xfrm>
                <a:off x="3819525" y="16697325"/>
                <a:ext cx="161925" cy="171450"/>
                <a:chOff x="2171700" y="3286125"/>
                <a:chExt cx="17" cy="18"/>
              </a:xfrm>
            </xdr:grpSpPr>
            <xdr:sp macro="" textlink="">
              <xdr:nvSpPr>
                <xdr:cNvPr id="12537" name="Freeform 862">
                  <a:extLst>
                    <a:ext uri="{FF2B5EF4-FFF2-40B4-BE49-F238E27FC236}">
                      <a16:creationId xmlns:a16="http://schemas.microsoft.com/office/drawing/2014/main" id="{00000000-0008-0000-1100-0000F9300000}"/>
                    </a:ext>
                  </a:extLst>
                </xdr:cNvPr>
                <xdr:cNvSpPr>
                  <a:spLocks/>
                </xdr:cNvSpPr>
              </xdr:nvSpPr>
              <xdr:spPr bwMode="auto">
                <a:xfrm>
                  <a:off x="2171704" y="32861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8" name="Freeform 863">
                  <a:extLst>
                    <a:ext uri="{FF2B5EF4-FFF2-40B4-BE49-F238E27FC236}">
                      <a16:creationId xmlns:a16="http://schemas.microsoft.com/office/drawing/2014/main" id="{00000000-0008-0000-1100-0000FA300000}"/>
                    </a:ext>
                  </a:extLst>
                </xdr:cNvPr>
                <xdr:cNvSpPr>
                  <a:spLocks/>
                </xdr:cNvSpPr>
              </xdr:nvSpPr>
              <xdr:spPr bwMode="auto">
                <a:xfrm>
                  <a:off x="2171700" y="32861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9" name="Freeform 864">
                  <a:extLst>
                    <a:ext uri="{FF2B5EF4-FFF2-40B4-BE49-F238E27FC236}">
                      <a16:creationId xmlns:a16="http://schemas.microsoft.com/office/drawing/2014/main" id="{00000000-0008-0000-1100-0000FB300000}"/>
                    </a:ext>
                  </a:extLst>
                </xdr:cNvPr>
                <xdr:cNvSpPr>
                  <a:spLocks/>
                </xdr:cNvSpPr>
              </xdr:nvSpPr>
              <xdr:spPr bwMode="auto">
                <a:xfrm>
                  <a:off x="2171703" y="32861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40" name="Freeform 865">
                  <a:extLst>
                    <a:ext uri="{FF2B5EF4-FFF2-40B4-BE49-F238E27FC236}">
                      <a16:creationId xmlns:a16="http://schemas.microsoft.com/office/drawing/2014/main" id="{00000000-0008-0000-1100-0000FC300000}"/>
                    </a:ext>
                  </a:extLst>
                </xdr:cNvPr>
                <xdr:cNvSpPr>
                  <a:spLocks/>
                </xdr:cNvSpPr>
              </xdr:nvSpPr>
              <xdr:spPr bwMode="auto">
                <a:xfrm>
                  <a:off x="2171710" y="32861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41" name="Freeform 866">
                  <a:extLst>
                    <a:ext uri="{FF2B5EF4-FFF2-40B4-BE49-F238E27FC236}">
                      <a16:creationId xmlns:a16="http://schemas.microsoft.com/office/drawing/2014/main" id="{00000000-0008-0000-1100-0000FD300000}"/>
                    </a:ext>
                  </a:extLst>
                </xdr:cNvPr>
                <xdr:cNvSpPr>
                  <a:spLocks/>
                </xdr:cNvSpPr>
              </xdr:nvSpPr>
              <xdr:spPr bwMode="auto">
                <a:xfrm>
                  <a:off x="2171710" y="32861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0" name="Group 768">
                <a:extLst>
                  <a:ext uri="{FF2B5EF4-FFF2-40B4-BE49-F238E27FC236}">
                    <a16:creationId xmlns:a16="http://schemas.microsoft.com/office/drawing/2014/main" id="{00000000-0008-0000-1100-0000A2300000}"/>
                  </a:ext>
                </a:extLst>
              </xdr:cNvPr>
              <xdr:cNvGrpSpPr>
                <a:grpSpLocks/>
              </xdr:cNvGrpSpPr>
            </xdr:nvGrpSpPr>
            <xdr:grpSpPr bwMode="auto">
              <a:xfrm>
                <a:off x="3067050" y="17783175"/>
                <a:ext cx="161925" cy="171450"/>
                <a:chOff x="1428750" y="4381500"/>
                <a:chExt cx="17" cy="18"/>
              </a:xfrm>
            </xdr:grpSpPr>
            <xdr:sp macro="" textlink="">
              <xdr:nvSpPr>
                <xdr:cNvPr id="12532" name="Freeform 857">
                  <a:extLst>
                    <a:ext uri="{FF2B5EF4-FFF2-40B4-BE49-F238E27FC236}">
                      <a16:creationId xmlns:a16="http://schemas.microsoft.com/office/drawing/2014/main" id="{00000000-0008-0000-1100-0000F4300000}"/>
                    </a:ext>
                  </a:extLst>
                </xdr:cNvPr>
                <xdr:cNvSpPr>
                  <a:spLocks/>
                </xdr:cNvSpPr>
              </xdr:nvSpPr>
              <xdr:spPr bwMode="auto">
                <a:xfrm>
                  <a:off x="1428754" y="438150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3" name="Freeform 858">
                  <a:extLst>
                    <a:ext uri="{FF2B5EF4-FFF2-40B4-BE49-F238E27FC236}">
                      <a16:creationId xmlns:a16="http://schemas.microsoft.com/office/drawing/2014/main" id="{00000000-0008-0000-1100-0000F5300000}"/>
                    </a:ext>
                  </a:extLst>
                </xdr:cNvPr>
                <xdr:cNvSpPr>
                  <a:spLocks/>
                </xdr:cNvSpPr>
              </xdr:nvSpPr>
              <xdr:spPr bwMode="auto">
                <a:xfrm>
                  <a:off x="1428750" y="438150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4" name="Freeform 859">
                  <a:extLst>
                    <a:ext uri="{FF2B5EF4-FFF2-40B4-BE49-F238E27FC236}">
                      <a16:creationId xmlns:a16="http://schemas.microsoft.com/office/drawing/2014/main" id="{00000000-0008-0000-1100-0000F6300000}"/>
                    </a:ext>
                  </a:extLst>
                </xdr:cNvPr>
                <xdr:cNvSpPr>
                  <a:spLocks/>
                </xdr:cNvSpPr>
              </xdr:nvSpPr>
              <xdr:spPr bwMode="auto">
                <a:xfrm>
                  <a:off x="1428753" y="438150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35" name="Freeform 860">
                  <a:extLst>
                    <a:ext uri="{FF2B5EF4-FFF2-40B4-BE49-F238E27FC236}">
                      <a16:creationId xmlns:a16="http://schemas.microsoft.com/office/drawing/2014/main" id="{00000000-0008-0000-1100-0000F7300000}"/>
                    </a:ext>
                  </a:extLst>
                </xdr:cNvPr>
                <xdr:cNvSpPr>
                  <a:spLocks/>
                </xdr:cNvSpPr>
              </xdr:nvSpPr>
              <xdr:spPr bwMode="auto">
                <a:xfrm>
                  <a:off x="1428760" y="438150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36" name="Freeform 861">
                  <a:extLst>
                    <a:ext uri="{FF2B5EF4-FFF2-40B4-BE49-F238E27FC236}">
                      <a16:creationId xmlns:a16="http://schemas.microsoft.com/office/drawing/2014/main" id="{00000000-0008-0000-1100-0000F8300000}"/>
                    </a:ext>
                  </a:extLst>
                </xdr:cNvPr>
                <xdr:cNvSpPr>
                  <a:spLocks/>
                </xdr:cNvSpPr>
              </xdr:nvSpPr>
              <xdr:spPr bwMode="auto">
                <a:xfrm>
                  <a:off x="1428760" y="438151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1" name="Group 770">
                <a:extLst>
                  <a:ext uri="{FF2B5EF4-FFF2-40B4-BE49-F238E27FC236}">
                    <a16:creationId xmlns:a16="http://schemas.microsoft.com/office/drawing/2014/main" id="{00000000-0008-0000-1100-0000A3300000}"/>
                  </a:ext>
                </a:extLst>
              </xdr:cNvPr>
              <xdr:cNvGrpSpPr>
                <a:grpSpLocks/>
              </xdr:cNvGrpSpPr>
            </xdr:nvGrpSpPr>
            <xdr:grpSpPr bwMode="auto">
              <a:xfrm>
                <a:off x="3105150" y="16316325"/>
                <a:ext cx="161925" cy="171450"/>
                <a:chOff x="1457325" y="2905125"/>
                <a:chExt cx="17" cy="18"/>
              </a:xfrm>
            </xdr:grpSpPr>
            <xdr:sp macro="" textlink="">
              <xdr:nvSpPr>
                <xdr:cNvPr id="12527" name="Freeform 847">
                  <a:extLst>
                    <a:ext uri="{FF2B5EF4-FFF2-40B4-BE49-F238E27FC236}">
                      <a16:creationId xmlns:a16="http://schemas.microsoft.com/office/drawing/2014/main" id="{00000000-0008-0000-1100-0000EF300000}"/>
                    </a:ext>
                  </a:extLst>
                </xdr:cNvPr>
                <xdr:cNvSpPr>
                  <a:spLocks/>
                </xdr:cNvSpPr>
              </xdr:nvSpPr>
              <xdr:spPr bwMode="auto">
                <a:xfrm>
                  <a:off x="1457329" y="29051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8" name="Freeform 848">
                  <a:extLst>
                    <a:ext uri="{FF2B5EF4-FFF2-40B4-BE49-F238E27FC236}">
                      <a16:creationId xmlns:a16="http://schemas.microsoft.com/office/drawing/2014/main" id="{00000000-0008-0000-1100-0000F0300000}"/>
                    </a:ext>
                  </a:extLst>
                </xdr:cNvPr>
                <xdr:cNvSpPr>
                  <a:spLocks/>
                </xdr:cNvSpPr>
              </xdr:nvSpPr>
              <xdr:spPr bwMode="auto">
                <a:xfrm>
                  <a:off x="1457325" y="29051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9" name="Freeform 849">
                  <a:extLst>
                    <a:ext uri="{FF2B5EF4-FFF2-40B4-BE49-F238E27FC236}">
                      <a16:creationId xmlns:a16="http://schemas.microsoft.com/office/drawing/2014/main" id="{00000000-0008-0000-1100-0000F1300000}"/>
                    </a:ext>
                  </a:extLst>
                </xdr:cNvPr>
                <xdr:cNvSpPr>
                  <a:spLocks/>
                </xdr:cNvSpPr>
              </xdr:nvSpPr>
              <xdr:spPr bwMode="auto">
                <a:xfrm>
                  <a:off x="1457328" y="29051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30" name="Freeform 850">
                  <a:extLst>
                    <a:ext uri="{FF2B5EF4-FFF2-40B4-BE49-F238E27FC236}">
                      <a16:creationId xmlns:a16="http://schemas.microsoft.com/office/drawing/2014/main" id="{00000000-0008-0000-1100-0000F2300000}"/>
                    </a:ext>
                  </a:extLst>
                </xdr:cNvPr>
                <xdr:cNvSpPr>
                  <a:spLocks/>
                </xdr:cNvSpPr>
              </xdr:nvSpPr>
              <xdr:spPr bwMode="auto">
                <a:xfrm>
                  <a:off x="1457335" y="29051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31" name="Freeform 851">
                  <a:extLst>
                    <a:ext uri="{FF2B5EF4-FFF2-40B4-BE49-F238E27FC236}">
                      <a16:creationId xmlns:a16="http://schemas.microsoft.com/office/drawing/2014/main" id="{00000000-0008-0000-1100-0000F3300000}"/>
                    </a:ext>
                  </a:extLst>
                </xdr:cNvPr>
                <xdr:cNvSpPr>
                  <a:spLocks/>
                </xdr:cNvSpPr>
              </xdr:nvSpPr>
              <xdr:spPr bwMode="auto">
                <a:xfrm>
                  <a:off x="1457335" y="29051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2" name="Group 771">
                <a:extLst>
                  <a:ext uri="{FF2B5EF4-FFF2-40B4-BE49-F238E27FC236}">
                    <a16:creationId xmlns:a16="http://schemas.microsoft.com/office/drawing/2014/main" id="{00000000-0008-0000-1100-0000A4300000}"/>
                  </a:ext>
                </a:extLst>
              </xdr:cNvPr>
              <xdr:cNvGrpSpPr>
                <a:grpSpLocks/>
              </xdr:cNvGrpSpPr>
            </xdr:nvGrpSpPr>
            <xdr:grpSpPr bwMode="auto">
              <a:xfrm>
                <a:off x="2352675" y="15916275"/>
                <a:ext cx="161925" cy="171450"/>
                <a:chOff x="752475" y="2524125"/>
                <a:chExt cx="17" cy="18"/>
              </a:xfrm>
            </xdr:grpSpPr>
            <xdr:sp macro="" textlink="">
              <xdr:nvSpPr>
                <xdr:cNvPr id="12522" name="Freeform 842">
                  <a:extLst>
                    <a:ext uri="{FF2B5EF4-FFF2-40B4-BE49-F238E27FC236}">
                      <a16:creationId xmlns:a16="http://schemas.microsoft.com/office/drawing/2014/main" id="{00000000-0008-0000-1100-0000EA300000}"/>
                    </a:ext>
                  </a:extLst>
                </xdr:cNvPr>
                <xdr:cNvSpPr>
                  <a:spLocks/>
                </xdr:cNvSpPr>
              </xdr:nvSpPr>
              <xdr:spPr bwMode="auto">
                <a:xfrm>
                  <a:off x="752479" y="25241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3" name="Freeform 843">
                  <a:extLst>
                    <a:ext uri="{FF2B5EF4-FFF2-40B4-BE49-F238E27FC236}">
                      <a16:creationId xmlns:a16="http://schemas.microsoft.com/office/drawing/2014/main" id="{00000000-0008-0000-1100-0000EB300000}"/>
                    </a:ext>
                  </a:extLst>
                </xdr:cNvPr>
                <xdr:cNvSpPr>
                  <a:spLocks/>
                </xdr:cNvSpPr>
              </xdr:nvSpPr>
              <xdr:spPr bwMode="auto">
                <a:xfrm>
                  <a:off x="752475" y="25241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4" name="Freeform 844">
                  <a:extLst>
                    <a:ext uri="{FF2B5EF4-FFF2-40B4-BE49-F238E27FC236}">
                      <a16:creationId xmlns:a16="http://schemas.microsoft.com/office/drawing/2014/main" id="{00000000-0008-0000-1100-0000EC300000}"/>
                    </a:ext>
                  </a:extLst>
                </xdr:cNvPr>
                <xdr:cNvSpPr>
                  <a:spLocks/>
                </xdr:cNvSpPr>
              </xdr:nvSpPr>
              <xdr:spPr bwMode="auto">
                <a:xfrm>
                  <a:off x="752478" y="25241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25" name="Freeform 845">
                  <a:extLst>
                    <a:ext uri="{FF2B5EF4-FFF2-40B4-BE49-F238E27FC236}">
                      <a16:creationId xmlns:a16="http://schemas.microsoft.com/office/drawing/2014/main" id="{00000000-0008-0000-1100-0000ED300000}"/>
                    </a:ext>
                  </a:extLst>
                </xdr:cNvPr>
                <xdr:cNvSpPr>
                  <a:spLocks/>
                </xdr:cNvSpPr>
              </xdr:nvSpPr>
              <xdr:spPr bwMode="auto">
                <a:xfrm>
                  <a:off x="752485" y="25241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26" name="Freeform 846">
                  <a:extLst>
                    <a:ext uri="{FF2B5EF4-FFF2-40B4-BE49-F238E27FC236}">
                      <a16:creationId xmlns:a16="http://schemas.microsoft.com/office/drawing/2014/main" id="{00000000-0008-0000-1100-0000EE300000}"/>
                    </a:ext>
                  </a:extLst>
                </xdr:cNvPr>
                <xdr:cNvSpPr>
                  <a:spLocks/>
                </xdr:cNvSpPr>
              </xdr:nvSpPr>
              <xdr:spPr bwMode="auto">
                <a:xfrm>
                  <a:off x="752485" y="25241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3" name="Group 769">
                <a:extLst>
                  <a:ext uri="{FF2B5EF4-FFF2-40B4-BE49-F238E27FC236}">
                    <a16:creationId xmlns:a16="http://schemas.microsoft.com/office/drawing/2014/main" id="{00000000-0008-0000-1100-0000A5300000}"/>
                  </a:ext>
                </a:extLst>
              </xdr:cNvPr>
              <xdr:cNvGrpSpPr>
                <a:grpSpLocks/>
              </xdr:cNvGrpSpPr>
            </xdr:nvGrpSpPr>
            <xdr:grpSpPr bwMode="auto">
              <a:xfrm>
                <a:off x="2352675" y="17373600"/>
                <a:ext cx="161925" cy="171450"/>
                <a:chOff x="704850" y="3962400"/>
                <a:chExt cx="17" cy="18"/>
              </a:xfrm>
            </xdr:grpSpPr>
            <xdr:sp macro="" textlink="">
              <xdr:nvSpPr>
                <xdr:cNvPr id="12517" name="Freeform 852">
                  <a:extLst>
                    <a:ext uri="{FF2B5EF4-FFF2-40B4-BE49-F238E27FC236}">
                      <a16:creationId xmlns:a16="http://schemas.microsoft.com/office/drawing/2014/main" id="{00000000-0008-0000-1100-0000E5300000}"/>
                    </a:ext>
                  </a:extLst>
                </xdr:cNvPr>
                <xdr:cNvSpPr>
                  <a:spLocks/>
                </xdr:cNvSpPr>
              </xdr:nvSpPr>
              <xdr:spPr bwMode="auto">
                <a:xfrm>
                  <a:off x="704854" y="396240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8" name="Freeform 853">
                  <a:extLst>
                    <a:ext uri="{FF2B5EF4-FFF2-40B4-BE49-F238E27FC236}">
                      <a16:creationId xmlns:a16="http://schemas.microsoft.com/office/drawing/2014/main" id="{00000000-0008-0000-1100-0000E6300000}"/>
                    </a:ext>
                  </a:extLst>
                </xdr:cNvPr>
                <xdr:cNvSpPr>
                  <a:spLocks/>
                </xdr:cNvSpPr>
              </xdr:nvSpPr>
              <xdr:spPr bwMode="auto">
                <a:xfrm>
                  <a:off x="704850" y="396240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9" name="Freeform 854">
                  <a:extLst>
                    <a:ext uri="{FF2B5EF4-FFF2-40B4-BE49-F238E27FC236}">
                      <a16:creationId xmlns:a16="http://schemas.microsoft.com/office/drawing/2014/main" id="{00000000-0008-0000-1100-0000E7300000}"/>
                    </a:ext>
                  </a:extLst>
                </xdr:cNvPr>
                <xdr:cNvSpPr>
                  <a:spLocks/>
                </xdr:cNvSpPr>
              </xdr:nvSpPr>
              <xdr:spPr bwMode="auto">
                <a:xfrm>
                  <a:off x="704853" y="396240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20" name="Freeform 855">
                  <a:extLst>
                    <a:ext uri="{FF2B5EF4-FFF2-40B4-BE49-F238E27FC236}">
                      <a16:creationId xmlns:a16="http://schemas.microsoft.com/office/drawing/2014/main" id="{00000000-0008-0000-1100-0000E8300000}"/>
                    </a:ext>
                  </a:extLst>
                </xdr:cNvPr>
                <xdr:cNvSpPr>
                  <a:spLocks/>
                </xdr:cNvSpPr>
              </xdr:nvSpPr>
              <xdr:spPr bwMode="auto">
                <a:xfrm>
                  <a:off x="704860" y="396240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21" name="Freeform 856">
                  <a:extLst>
                    <a:ext uri="{FF2B5EF4-FFF2-40B4-BE49-F238E27FC236}">
                      <a16:creationId xmlns:a16="http://schemas.microsoft.com/office/drawing/2014/main" id="{00000000-0008-0000-1100-0000E9300000}"/>
                    </a:ext>
                  </a:extLst>
                </xdr:cNvPr>
                <xdr:cNvSpPr>
                  <a:spLocks/>
                </xdr:cNvSpPr>
              </xdr:nvSpPr>
              <xdr:spPr bwMode="auto">
                <a:xfrm>
                  <a:off x="704860" y="396241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4" name="Group 772">
                <a:extLst>
                  <a:ext uri="{FF2B5EF4-FFF2-40B4-BE49-F238E27FC236}">
                    <a16:creationId xmlns:a16="http://schemas.microsoft.com/office/drawing/2014/main" id="{00000000-0008-0000-1100-0000A6300000}"/>
                  </a:ext>
                </a:extLst>
              </xdr:cNvPr>
              <xdr:cNvGrpSpPr>
                <a:grpSpLocks/>
              </xdr:cNvGrpSpPr>
            </xdr:nvGrpSpPr>
            <xdr:grpSpPr bwMode="auto">
              <a:xfrm>
                <a:off x="2343150" y="16678275"/>
                <a:ext cx="161925" cy="171450"/>
                <a:chOff x="0" y="2838450"/>
                <a:chExt cx="17" cy="18"/>
              </a:xfrm>
            </xdr:grpSpPr>
            <xdr:sp macro="" textlink="">
              <xdr:nvSpPr>
                <xdr:cNvPr id="12512" name="Freeform 837">
                  <a:extLst>
                    <a:ext uri="{FF2B5EF4-FFF2-40B4-BE49-F238E27FC236}">
                      <a16:creationId xmlns:a16="http://schemas.microsoft.com/office/drawing/2014/main" id="{00000000-0008-0000-1100-0000E0300000}"/>
                    </a:ext>
                  </a:extLst>
                </xdr:cNvPr>
                <xdr:cNvSpPr>
                  <a:spLocks/>
                </xdr:cNvSpPr>
              </xdr:nvSpPr>
              <xdr:spPr bwMode="auto">
                <a:xfrm>
                  <a:off x="4" y="283845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3" name="Freeform 838">
                  <a:extLst>
                    <a:ext uri="{FF2B5EF4-FFF2-40B4-BE49-F238E27FC236}">
                      <a16:creationId xmlns:a16="http://schemas.microsoft.com/office/drawing/2014/main" id="{00000000-0008-0000-1100-0000E1300000}"/>
                    </a:ext>
                  </a:extLst>
                </xdr:cNvPr>
                <xdr:cNvSpPr>
                  <a:spLocks/>
                </xdr:cNvSpPr>
              </xdr:nvSpPr>
              <xdr:spPr bwMode="auto">
                <a:xfrm>
                  <a:off x="0" y="283845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4" name="Freeform 839">
                  <a:extLst>
                    <a:ext uri="{FF2B5EF4-FFF2-40B4-BE49-F238E27FC236}">
                      <a16:creationId xmlns:a16="http://schemas.microsoft.com/office/drawing/2014/main" id="{00000000-0008-0000-1100-0000E2300000}"/>
                    </a:ext>
                  </a:extLst>
                </xdr:cNvPr>
                <xdr:cNvSpPr>
                  <a:spLocks/>
                </xdr:cNvSpPr>
              </xdr:nvSpPr>
              <xdr:spPr bwMode="auto">
                <a:xfrm>
                  <a:off x="3" y="283845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15" name="Freeform 840">
                  <a:extLst>
                    <a:ext uri="{FF2B5EF4-FFF2-40B4-BE49-F238E27FC236}">
                      <a16:creationId xmlns:a16="http://schemas.microsoft.com/office/drawing/2014/main" id="{00000000-0008-0000-1100-0000E3300000}"/>
                    </a:ext>
                  </a:extLst>
                </xdr:cNvPr>
                <xdr:cNvSpPr>
                  <a:spLocks/>
                </xdr:cNvSpPr>
              </xdr:nvSpPr>
              <xdr:spPr bwMode="auto">
                <a:xfrm>
                  <a:off x="10" y="283845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16" name="Freeform 841">
                  <a:extLst>
                    <a:ext uri="{FF2B5EF4-FFF2-40B4-BE49-F238E27FC236}">
                      <a16:creationId xmlns:a16="http://schemas.microsoft.com/office/drawing/2014/main" id="{00000000-0008-0000-1100-0000E4300000}"/>
                    </a:ext>
                  </a:extLst>
                </xdr:cNvPr>
                <xdr:cNvSpPr>
                  <a:spLocks/>
                </xdr:cNvSpPr>
              </xdr:nvSpPr>
              <xdr:spPr bwMode="auto">
                <a:xfrm>
                  <a:off x="10" y="283846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5" name="Group 775">
                <a:extLst>
                  <a:ext uri="{FF2B5EF4-FFF2-40B4-BE49-F238E27FC236}">
                    <a16:creationId xmlns:a16="http://schemas.microsoft.com/office/drawing/2014/main" id="{00000000-0008-0000-1100-0000A7300000}"/>
                  </a:ext>
                </a:extLst>
              </xdr:cNvPr>
              <xdr:cNvGrpSpPr>
                <a:grpSpLocks/>
              </xdr:cNvGrpSpPr>
            </xdr:nvGrpSpPr>
            <xdr:grpSpPr bwMode="auto">
              <a:xfrm>
                <a:off x="4543425" y="17821275"/>
                <a:ext cx="161925" cy="171450"/>
                <a:chOff x="2895600" y="4410075"/>
                <a:chExt cx="17" cy="18"/>
              </a:xfrm>
            </xdr:grpSpPr>
            <xdr:sp macro="" textlink="">
              <xdr:nvSpPr>
                <xdr:cNvPr id="12507" name="Freeform 822">
                  <a:extLst>
                    <a:ext uri="{FF2B5EF4-FFF2-40B4-BE49-F238E27FC236}">
                      <a16:creationId xmlns:a16="http://schemas.microsoft.com/office/drawing/2014/main" id="{00000000-0008-0000-1100-0000DB300000}"/>
                    </a:ext>
                  </a:extLst>
                </xdr:cNvPr>
                <xdr:cNvSpPr>
                  <a:spLocks/>
                </xdr:cNvSpPr>
              </xdr:nvSpPr>
              <xdr:spPr bwMode="auto">
                <a:xfrm>
                  <a:off x="2895604" y="441007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8" name="Freeform 823">
                  <a:extLst>
                    <a:ext uri="{FF2B5EF4-FFF2-40B4-BE49-F238E27FC236}">
                      <a16:creationId xmlns:a16="http://schemas.microsoft.com/office/drawing/2014/main" id="{00000000-0008-0000-1100-0000DC300000}"/>
                    </a:ext>
                  </a:extLst>
                </xdr:cNvPr>
                <xdr:cNvSpPr>
                  <a:spLocks/>
                </xdr:cNvSpPr>
              </xdr:nvSpPr>
              <xdr:spPr bwMode="auto">
                <a:xfrm>
                  <a:off x="2895600" y="441007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9" name="Freeform 824">
                  <a:extLst>
                    <a:ext uri="{FF2B5EF4-FFF2-40B4-BE49-F238E27FC236}">
                      <a16:creationId xmlns:a16="http://schemas.microsoft.com/office/drawing/2014/main" id="{00000000-0008-0000-1100-0000DD300000}"/>
                    </a:ext>
                  </a:extLst>
                </xdr:cNvPr>
                <xdr:cNvSpPr>
                  <a:spLocks/>
                </xdr:cNvSpPr>
              </xdr:nvSpPr>
              <xdr:spPr bwMode="auto">
                <a:xfrm>
                  <a:off x="2895603" y="441007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10" name="Freeform 825">
                  <a:extLst>
                    <a:ext uri="{FF2B5EF4-FFF2-40B4-BE49-F238E27FC236}">
                      <a16:creationId xmlns:a16="http://schemas.microsoft.com/office/drawing/2014/main" id="{00000000-0008-0000-1100-0000DE300000}"/>
                    </a:ext>
                  </a:extLst>
                </xdr:cNvPr>
                <xdr:cNvSpPr>
                  <a:spLocks/>
                </xdr:cNvSpPr>
              </xdr:nvSpPr>
              <xdr:spPr bwMode="auto">
                <a:xfrm>
                  <a:off x="2895610" y="441007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11" name="Freeform 826">
                  <a:extLst>
                    <a:ext uri="{FF2B5EF4-FFF2-40B4-BE49-F238E27FC236}">
                      <a16:creationId xmlns:a16="http://schemas.microsoft.com/office/drawing/2014/main" id="{00000000-0008-0000-1100-0000DF300000}"/>
                    </a:ext>
                  </a:extLst>
                </xdr:cNvPr>
                <xdr:cNvSpPr>
                  <a:spLocks/>
                </xdr:cNvSpPr>
              </xdr:nvSpPr>
              <xdr:spPr bwMode="auto">
                <a:xfrm>
                  <a:off x="2895610" y="441008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6" name="Group 776">
                <a:extLst>
                  <a:ext uri="{FF2B5EF4-FFF2-40B4-BE49-F238E27FC236}">
                    <a16:creationId xmlns:a16="http://schemas.microsoft.com/office/drawing/2014/main" id="{00000000-0008-0000-1100-0000A8300000}"/>
                  </a:ext>
                </a:extLst>
              </xdr:cNvPr>
              <xdr:cNvGrpSpPr>
                <a:grpSpLocks/>
              </xdr:cNvGrpSpPr>
            </xdr:nvGrpSpPr>
            <xdr:grpSpPr bwMode="auto">
              <a:xfrm>
                <a:off x="4543425" y="17087850"/>
                <a:ext cx="161925" cy="171450"/>
                <a:chOff x="2895600" y="3676650"/>
                <a:chExt cx="17" cy="18"/>
              </a:xfrm>
            </xdr:grpSpPr>
            <xdr:sp macro="" textlink="">
              <xdr:nvSpPr>
                <xdr:cNvPr id="12502" name="Freeform 817">
                  <a:extLst>
                    <a:ext uri="{FF2B5EF4-FFF2-40B4-BE49-F238E27FC236}">
                      <a16:creationId xmlns:a16="http://schemas.microsoft.com/office/drawing/2014/main" id="{00000000-0008-0000-1100-0000D6300000}"/>
                    </a:ext>
                  </a:extLst>
                </xdr:cNvPr>
                <xdr:cNvSpPr>
                  <a:spLocks/>
                </xdr:cNvSpPr>
              </xdr:nvSpPr>
              <xdr:spPr bwMode="auto">
                <a:xfrm>
                  <a:off x="2895604" y="367665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3" name="Freeform 818">
                  <a:extLst>
                    <a:ext uri="{FF2B5EF4-FFF2-40B4-BE49-F238E27FC236}">
                      <a16:creationId xmlns:a16="http://schemas.microsoft.com/office/drawing/2014/main" id="{00000000-0008-0000-1100-0000D7300000}"/>
                    </a:ext>
                  </a:extLst>
                </xdr:cNvPr>
                <xdr:cNvSpPr>
                  <a:spLocks/>
                </xdr:cNvSpPr>
              </xdr:nvSpPr>
              <xdr:spPr bwMode="auto">
                <a:xfrm>
                  <a:off x="2895600" y="367665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4" name="Freeform 819">
                  <a:extLst>
                    <a:ext uri="{FF2B5EF4-FFF2-40B4-BE49-F238E27FC236}">
                      <a16:creationId xmlns:a16="http://schemas.microsoft.com/office/drawing/2014/main" id="{00000000-0008-0000-1100-0000D8300000}"/>
                    </a:ext>
                  </a:extLst>
                </xdr:cNvPr>
                <xdr:cNvSpPr>
                  <a:spLocks/>
                </xdr:cNvSpPr>
              </xdr:nvSpPr>
              <xdr:spPr bwMode="auto">
                <a:xfrm>
                  <a:off x="2895603" y="367665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05" name="Freeform 820">
                  <a:extLst>
                    <a:ext uri="{FF2B5EF4-FFF2-40B4-BE49-F238E27FC236}">
                      <a16:creationId xmlns:a16="http://schemas.microsoft.com/office/drawing/2014/main" id="{00000000-0008-0000-1100-0000D9300000}"/>
                    </a:ext>
                  </a:extLst>
                </xdr:cNvPr>
                <xdr:cNvSpPr>
                  <a:spLocks/>
                </xdr:cNvSpPr>
              </xdr:nvSpPr>
              <xdr:spPr bwMode="auto">
                <a:xfrm>
                  <a:off x="2895610" y="367665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06" name="Freeform 821">
                  <a:extLst>
                    <a:ext uri="{FF2B5EF4-FFF2-40B4-BE49-F238E27FC236}">
                      <a16:creationId xmlns:a16="http://schemas.microsoft.com/office/drawing/2014/main" id="{00000000-0008-0000-1100-0000DA300000}"/>
                    </a:ext>
                  </a:extLst>
                </xdr:cNvPr>
                <xdr:cNvSpPr>
                  <a:spLocks/>
                </xdr:cNvSpPr>
              </xdr:nvSpPr>
              <xdr:spPr bwMode="auto">
                <a:xfrm>
                  <a:off x="2895610" y="367666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7" name="Group 777">
                <a:extLst>
                  <a:ext uri="{FF2B5EF4-FFF2-40B4-BE49-F238E27FC236}">
                    <a16:creationId xmlns:a16="http://schemas.microsoft.com/office/drawing/2014/main" id="{00000000-0008-0000-1100-0000A9300000}"/>
                  </a:ext>
                </a:extLst>
              </xdr:cNvPr>
              <xdr:cNvGrpSpPr>
                <a:grpSpLocks/>
              </xdr:cNvGrpSpPr>
            </xdr:nvGrpSpPr>
            <xdr:grpSpPr bwMode="auto">
              <a:xfrm>
                <a:off x="4229100" y="17287875"/>
                <a:ext cx="323850" cy="323850"/>
                <a:chOff x="1133475" y="3333750"/>
                <a:chExt cx="34" cy="34"/>
              </a:xfrm>
            </xdr:grpSpPr>
            <xdr:sp macro="" textlink="">
              <xdr:nvSpPr>
                <xdr:cNvPr id="12496" name="Oval 811">
                  <a:extLst>
                    <a:ext uri="{FF2B5EF4-FFF2-40B4-BE49-F238E27FC236}">
                      <a16:creationId xmlns:a16="http://schemas.microsoft.com/office/drawing/2014/main" id="{00000000-0008-0000-1100-0000D0300000}"/>
                    </a:ext>
                  </a:extLst>
                </xdr:cNvPr>
                <xdr:cNvSpPr>
                  <a:spLocks noChangeArrowheads="1"/>
                </xdr:cNvSpPr>
              </xdr:nvSpPr>
              <xdr:spPr bwMode="auto">
                <a:xfrm rot="-1760819">
                  <a:off x="1133494" y="3333750"/>
                  <a:ext cx="12" cy="27"/>
                </a:xfrm>
                <a:prstGeom prst="ellipse">
                  <a:avLst/>
                </a:prstGeom>
                <a:solidFill>
                  <a:srgbClr val="FFFFFF"/>
                </a:solidFill>
                <a:ln w="9525">
                  <a:solidFill>
                    <a:srgbClr val="000000"/>
                  </a:solidFill>
                  <a:round/>
                  <a:headEnd/>
                  <a:tailEnd/>
                </a:ln>
              </xdr:spPr>
            </xdr:sp>
            <xdr:sp macro="" textlink="">
              <xdr:nvSpPr>
                <xdr:cNvPr id="12497" name="Oval 812">
                  <a:extLst>
                    <a:ext uri="{FF2B5EF4-FFF2-40B4-BE49-F238E27FC236}">
                      <a16:creationId xmlns:a16="http://schemas.microsoft.com/office/drawing/2014/main" id="{00000000-0008-0000-1100-0000D1300000}"/>
                    </a:ext>
                  </a:extLst>
                </xdr:cNvPr>
                <xdr:cNvSpPr>
                  <a:spLocks noChangeArrowheads="1"/>
                </xdr:cNvSpPr>
              </xdr:nvSpPr>
              <xdr:spPr bwMode="auto">
                <a:xfrm rot="-1760819">
                  <a:off x="1133490" y="3333759"/>
                  <a:ext cx="7" cy="17"/>
                </a:xfrm>
                <a:prstGeom prst="ellipse">
                  <a:avLst/>
                </a:prstGeom>
                <a:solidFill>
                  <a:srgbClr val="FFFFFF"/>
                </a:solidFill>
                <a:ln w="9525">
                  <a:solidFill>
                    <a:srgbClr val="000000"/>
                  </a:solidFill>
                  <a:round/>
                  <a:headEnd/>
                  <a:tailEnd/>
                </a:ln>
              </xdr:spPr>
            </xdr:sp>
            <xdr:sp macro="" textlink="">
              <xdr:nvSpPr>
                <xdr:cNvPr id="12498" name="Freeform 813">
                  <a:extLst>
                    <a:ext uri="{FF2B5EF4-FFF2-40B4-BE49-F238E27FC236}">
                      <a16:creationId xmlns:a16="http://schemas.microsoft.com/office/drawing/2014/main" id="{00000000-0008-0000-1100-0000D2300000}"/>
                    </a:ext>
                  </a:extLst>
                </xdr:cNvPr>
                <xdr:cNvSpPr>
                  <a:spLocks/>
                </xdr:cNvSpPr>
              </xdr:nvSpPr>
              <xdr:spPr bwMode="auto">
                <a:xfrm>
                  <a:off x="1133487" y="3333751"/>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499" name="Oval 814">
                  <a:extLst>
                    <a:ext uri="{FF2B5EF4-FFF2-40B4-BE49-F238E27FC236}">
                      <a16:creationId xmlns:a16="http://schemas.microsoft.com/office/drawing/2014/main" id="{00000000-0008-0000-1100-0000D3300000}"/>
                    </a:ext>
                  </a:extLst>
                </xdr:cNvPr>
                <xdr:cNvSpPr>
                  <a:spLocks noChangeArrowheads="1"/>
                </xdr:cNvSpPr>
              </xdr:nvSpPr>
              <xdr:spPr bwMode="auto">
                <a:xfrm rot="-1760819">
                  <a:off x="1133488" y="3333754"/>
                  <a:ext cx="12" cy="27"/>
                </a:xfrm>
                <a:prstGeom prst="ellipse">
                  <a:avLst/>
                </a:prstGeom>
                <a:solidFill>
                  <a:srgbClr val="FFFF99"/>
                </a:solidFill>
                <a:ln w="9525">
                  <a:solidFill>
                    <a:srgbClr val="000000"/>
                  </a:solidFill>
                  <a:round/>
                  <a:headEnd/>
                  <a:tailEnd/>
                </a:ln>
              </xdr:spPr>
            </xdr:sp>
            <xdr:sp macro="" textlink="">
              <xdr:nvSpPr>
                <xdr:cNvPr id="12500" name="Freeform 815">
                  <a:extLst>
                    <a:ext uri="{FF2B5EF4-FFF2-40B4-BE49-F238E27FC236}">
                      <a16:creationId xmlns:a16="http://schemas.microsoft.com/office/drawing/2014/main" id="{00000000-0008-0000-1100-0000D4300000}"/>
                    </a:ext>
                  </a:extLst>
                </xdr:cNvPr>
                <xdr:cNvSpPr>
                  <a:spLocks/>
                </xdr:cNvSpPr>
              </xdr:nvSpPr>
              <xdr:spPr bwMode="auto">
                <a:xfrm>
                  <a:off x="1133475" y="3333760"/>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501" name="Oval 816">
                  <a:extLst>
                    <a:ext uri="{FF2B5EF4-FFF2-40B4-BE49-F238E27FC236}">
                      <a16:creationId xmlns:a16="http://schemas.microsoft.com/office/drawing/2014/main" id="{00000000-0008-0000-1100-0000D5300000}"/>
                    </a:ext>
                  </a:extLst>
                </xdr:cNvPr>
                <xdr:cNvSpPr>
                  <a:spLocks noChangeArrowheads="1"/>
                </xdr:cNvSpPr>
              </xdr:nvSpPr>
              <xdr:spPr bwMode="auto">
                <a:xfrm rot="-1760819">
                  <a:off x="1133476" y="3333767"/>
                  <a:ext cx="7" cy="17"/>
                </a:xfrm>
                <a:prstGeom prst="ellipse">
                  <a:avLst/>
                </a:prstGeom>
                <a:solidFill>
                  <a:srgbClr val="FF9933"/>
                </a:solidFill>
                <a:ln w="9525">
                  <a:solidFill>
                    <a:srgbClr val="000000"/>
                  </a:solidFill>
                  <a:round/>
                  <a:headEnd/>
                  <a:tailEnd/>
                </a:ln>
              </xdr:spPr>
            </xdr:sp>
          </xdr:grpSp>
          <xdr:grpSp>
            <xdr:nvGrpSpPr>
              <xdr:cNvPr id="12458" name="Group 778">
                <a:extLst>
                  <a:ext uri="{FF2B5EF4-FFF2-40B4-BE49-F238E27FC236}">
                    <a16:creationId xmlns:a16="http://schemas.microsoft.com/office/drawing/2014/main" id="{00000000-0008-0000-1100-0000AA300000}"/>
                  </a:ext>
                </a:extLst>
              </xdr:cNvPr>
              <xdr:cNvGrpSpPr>
                <a:grpSpLocks/>
              </xdr:cNvGrpSpPr>
            </xdr:nvGrpSpPr>
            <xdr:grpSpPr bwMode="auto">
              <a:xfrm>
                <a:off x="4238625" y="17954625"/>
                <a:ext cx="323850" cy="323850"/>
                <a:chOff x="1409700" y="3810000"/>
                <a:chExt cx="34" cy="34"/>
              </a:xfrm>
            </xdr:grpSpPr>
            <xdr:sp macro="" textlink="">
              <xdr:nvSpPr>
                <xdr:cNvPr id="12490" name="Oval 805">
                  <a:extLst>
                    <a:ext uri="{FF2B5EF4-FFF2-40B4-BE49-F238E27FC236}">
                      <a16:creationId xmlns:a16="http://schemas.microsoft.com/office/drawing/2014/main" id="{00000000-0008-0000-1100-0000CA300000}"/>
                    </a:ext>
                  </a:extLst>
                </xdr:cNvPr>
                <xdr:cNvSpPr>
                  <a:spLocks noChangeArrowheads="1"/>
                </xdr:cNvSpPr>
              </xdr:nvSpPr>
              <xdr:spPr bwMode="auto">
                <a:xfrm rot="-1760819">
                  <a:off x="1409719" y="3810000"/>
                  <a:ext cx="12" cy="27"/>
                </a:xfrm>
                <a:prstGeom prst="ellipse">
                  <a:avLst/>
                </a:prstGeom>
                <a:solidFill>
                  <a:srgbClr val="FFFFFF"/>
                </a:solidFill>
                <a:ln w="9525">
                  <a:solidFill>
                    <a:srgbClr val="000000"/>
                  </a:solidFill>
                  <a:round/>
                  <a:headEnd/>
                  <a:tailEnd/>
                </a:ln>
              </xdr:spPr>
            </xdr:sp>
            <xdr:sp macro="" textlink="">
              <xdr:nvSpPr>
                <xdr:cNvPr id="12491" name="Oval 806">
                  <a:extLst>
                    <a:ext uri="{FF2B5EF4-FFF2-40B4-BE49-F238E27FC236}">
                      <a16:creationId xmlns:a16="http://schemas.microsoft.com/office/drawing/2014/main" id="{00000000-0008-0000-1100-0000CB300000}"/>
                    </a:ext>
                  </a:extLst>
                </xdr:cNvPr>
                <xdr:cNvSpPr>
                  <a:spLocks noChangeArrowheads="1"/>
                </xdr:cNvSpPr>
              </xdr:nvSpPr>
              <xdr:spPr bwMode="auto">
                <a:xfrm rot="-1760819">
                  <a:off x="1409715" y="3810009"/>
                  <a:ext cx="7" cy="17"/>
                </a:xfrm>
                <a:prstGeom prst="ellipse">
                  <a:avLst/>
                </a:prstGeom>
                <a:solidFill>
                  <a:srgbClr val="FFFFFF"/>
                </a:solidFill>
                <a:ln w="9525">
                  <a:solidFill>
                    <a:srgbClr val="000000"/>
                  </a:solidFill>
                  <a:round/>
                  <a:headEnd/>
                  <a:tailEnd/>
                </a:ln>
              </xdr:spPr>
            </xdr:sp>
            <xdr:sp macro="" textlink="">
              <xdr:nvSpPr>
                <xdr:cNvPr id="12492" name="Freeform 807">
                  <a:extLst>
                    <a:ext uri="{FF2B5EF4-FFF2-40B4-BE49-F238E27FC236}">
                      <a16:creationId xmlns:a16="http://schemas.microsoft.com/office/drawing/2014/main" id="{00000000-0008-0000-1100-0000CC300000}"/>
                    </a:ext>
                  </a:extLst>
                </xdr:cNvPr>
                <xdr:cNvSpPr>
                  <a:spLocks/>
                </xdr:cNvSpPr>
              </xdr:nvSpPr>
              <xdr:spPr bwMode="auto">
                <a:xfrm>
                  <a:off x="1409712" y="3810001"/>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493" name="Oval 808">
                  <a:extLst>
                    <a:ext uri="{FF2B5EF4-FFF2-40B4-BE49-F238E27FC236}">
                      <a16:creationId xmlns:a16="http://schemas.microsoft.com/office/drawing/2014/main" id="{00000000-0008-0000-1100-0000CD300000}"/>
                    </a:ext>
                  </a:extLst>
                </xdr:cNvPr>
                <xdr:cNvSpPr>
                  <a:spLocks noChangeArrowheads="1"/>
                </xdr:cNvSpPr>
              </xdr:nvSpPr>
              <xdr:spPr bwMode="auto">
                <a:xfrm rot="-1760819">
                  <a:off x="1409713" y="3810004"/>
                  <a:ext cx="12" cy="27"/>
                </a:xfrm>
                <a:prstGeom prst="ellipse">
                  <a:avLst/>
                </a:prstGeom>
                <a:solidFill>
                  <a:srgbClr val="FFFF99"/>
                </a:solidFill>
                <a:ln w="9525">
                  <a:solidFill>
                    <a:srgbClr val="000000"/>
                  </a:solidFill>
                  <a:round/>
                  <a:headEnd/>
                  <a:tailEnd/>
                </a:ln>
              </xdr:spPr>
            </xdr:sp>
            <xdr:sp macro="" textlink="">
              <xdr:nvSpPr>
                <xdr:cNvPr id="12494" name="Freeform 809">
                  <a:extLst>
                    <a:ext uri="{FF2B5EF4-FFF2-40B4-BE49-F238E27FC236}">
                      <a16:creationId xmlns:a16="http://schemas.microsoft.com/office/drawing/2014/main" id="{00000000-0008-0000-1100-0000CE300000}"/>
                    </a:ext>
                  </a:extLst>
                </xdr:cNvPr>
                <xdr:cNvSpPr>
                  <a:spLocks/>
                </xdr:cNvSpPr>
              </xdr:nvSpPr>
              <xdr:spPr bwMode="auto">
                <a:xfrm>
                  <a:off x="1409700" y="3810010"/>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495" name="Oval 810">
                  <a:extLst>
                    <a:ext uri="{FF2B5EF4-FFF2-40B4-BE49-F238E27FC236}">
                      <a16:creationId xmlns:a16="http://schemas.microsoft.com/office/drawing/2014/main" id="{00000000-0008-0000-1100-0000CF300000}"/>
                    </a:ext>
                  </a:extLst>
                </xdr:cNvPr>
                <xdr:cNvSpPr>
                  <a:spLocks noChangeArrowheads="1"/>
                </xdr:cNvSpPr>
              </xdr:nvSpPr>
              <xdr:spPr bwMode="auto">
                <a:xfrm rot="-1760819">
                  <a:off x="1409701" y="3810017"/>
                  <a:ext cx="7" cy="17"/>
                </a:xfrm>
                <a:prstGeom prst="ellipse">
                  <a:avLst/>
                </a:prstGeom>
                <a:solidFill>
                  <a:srgbClr val="FF9933"/>
                </a:solidFill>
                <a:ln w="9525">
                  <a:solidFill>
                    <a:srgbClr val="000000"/>
                  </a:solidFill>
                  <a:round/>
                  <a:headEnd/>
                  <a:tailEnd/>
                </a:ln>
              </xdr:spPr>
            </xdr:sp>
          </xdr:grpSp>
          <xdr:sp macro="" textlink="">
            <xdr:nvSpPr>
              <xdr:cNvPr id="12459" name="Line 1257">
                <a:extLst>
                  <a:ext uri="{FF2B5EF4-FFF2-40B4-BE49-F238E27FC236}">
                    <a16:creationId xmlns:a16="http://schemas.microsoft.com/office/drawing/2014/main" id="{00000000-0008-0000-1100-0000AB300000}"/>
                  </a:ext>
                </a:extLst>
              </xdr:cNvPr>
              <xdr:cNvSpPr>
                <a:spLocks noChangeShapeType="1"/>
              </xdr:cNvSpPr>
            </xdr:nvSpPr>
            <xdr:spPr bwMode="auto">
              <a:xfrm>
                <a:off x="3981450" y="18135600"/>
                <a:ext cx="171450" cy="0"/>
              </a:xfrm>
              <a:prstGeom prst="line">
                <a:avLst/>
              </a:prstGeom>
              <a:noFill/>
              <a:ln w="38100">
                <a:solidFill>
                  <a:srgbClr val="000000"/>
                </a:solidFill>
                <a:round/>
                <a:headEnd/>
                <a:tailEnd/>
              </a:ln>
            </xdr:spPr>
          </xdr:sp>
          <xdr:grpSp>
            <xdr:nvGrpSpPr>
              <xdr:cNvPr id="12463" name="Group 1275">
                <a:extLst>
                  <a:ext uri="{FF2B5EF4-FFF2-40B4-BE49-F238E27FC236}">
                    <a16:creationId xmlns:a16="http://schemas.microsoft.com/office/drawing/2014/main" id="{00000000-0008-0000-1100-0000AF300000}"/>
                  </a:ext>
                </a:extLst>
              </xdr:cNvPr>
              <xdr:cNvGrpSpPr>
                <a:grpSpLocks/>
              </xdr:cNvGrpSpPr>
            </xdr:nvGrpSpPr>
            <xdr:grpSpPr bwMode="auto">
              <a:xfrm>
                <a:off x="3981450" y="17383125"/>
                <a:ext cx="171450" cy="161925"/>
                <a:chOff x="295" y="443"/>
                <a:chExt cx="18" cy="17"/>
              </a:xfrm>
            </xdr:grpSpPr>
            <xdr:sp macro="" textlink="">
              <xdr:nvSpPr>
                <xdr:cNvPr id="12488" name="Line 1276">
                  <a:extLst>
                    <a:ext uri="{FF2B5EF4-FFF2-40B4-BE49-F238E27FC236}">
                      <a16:creationId xmlns:a16="http://schemas.microsoft.com/office/drawing/2014/main" id="{00000000-0008-0000-1100-0000C8300000}"/>
                    </a:ext>
                  </a:extLst>
                </xdr:cNvPr>
                <xdr:cNvSpPr>
                  <a:spLocks noChangeShapeType="1"/>
                </xdr:cNvSpPr>
              </xdr:nvSpPr>
              <xdr:spPr bwMode="auto">
                <a:xfrm>
                  <a:off x="304" y="443"/>
                  <a:ext cx="0" cy="17"/>
                </a:xfrm>
                <a:prstGeom prst="line">
                  <a:avLst/>
                </a:prstGeom>
                <a:noFill/>
                <a:ln w="38100">
                  <a:solidFill>
                    <a:srgbClr val="000000"/>
                  </a:solidFill>
                  <a:round/>
                  <a:headEnd/>
                  <a:tailEnd/>
                </a:ln>
              </xdr:spPr>
            </xdr:sp>
            <xdr:sp macro="" textlink="">
              <xdr:nvSpPr>
                <xdr:cNvPr id="12489" name="Line 1277">
                  <a:extLst>
                    <a:ext uri="{FF2B5EF4-FFF2-40B4-BE49-F238E27FC236}">
                      <a16:creationId xmlns:a16="http://schemas.microsoft.com/office/drawing/2014/main" id="{00000000-0008-0000-1100-0000C9300000}"/>
                    </a:ext>
                  </a:extLst>
                </xdr:cNvPr>
                <xdr:cNvSpPr>
                  <a:spLocks noChangeShapeType="1"/>
                </xdr:cNvSpPr>
              </xdr:nvSpPr>
              <xdr:spPr bwMode="auto">
                <a:xfrm>
                  <a:off x="295" y="451"/>
                  <a:ext cx="18" cy="0"/>
                </a:xfrm>
                <a:prstGeom prst="line">
                  <a:avLst/>
                </a:prstGeom>
                <a:noFill/>
                <a:ln w="38100">
                  <a:solidFill>
                    <a:srgbClr val="000000"/>
                  </a:solidFill>
                  <a:round/>
                  <a:headEnd/>
                  <a:tailEnd/>
                </a:ln>
              </xdr:spPr>
            </xdr:sp>
          </xdr:grpSp>
          <xdr:cxnSp macro="">
            <xdr:nvCxnSpPr>
              <xdr:cNvPr id="26" name="Straight Connector 25">
                <a:extLst>
                  <a:ext uri="{FF2B5EF4-FFF2-40B4-BE49-F238E27FC236}">
                    <a16:creationId xmlns:a16="http://schemas.microsoft.com/office/drawing/2014/main" id="{00000000-0008-0000-1100-00001A000000}"/>
                  </a:ext>
                </a:extLst>
              </xdr:cNvPr>
              <xdr:cNvCxnSpPr/>
            </xdr:nvCxnSpPr>
            <xdr:spPr>
              <a:xfrm flipH="1">
                <a:off x="7075325" y="16489531"/>
                <a:ext cx="803859" cy="49204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1100-00001F020000}"/>
                  </a:ext>
                </a:extLst>
              </xdr:cNvPr>
              <xdr:cNvCxnSpPr/>
            </xdr:nvCxnSpPr>
            <xdr:spPr>
              <a:xfrm flipV="1">
                <a:off x="7081591" y="16989844"/>
                <a:ext cx="2006" cy="6707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1100-000022020000}"/>
                  </a:ext>
                </a:extLst>
              </xdr:cNvPr>
              <xdr:cNvCxnSpPr/>
            </xdr:nvCxnSpPr>
            <xdr:spPr>
              <a:xfrm flipH="1">
                <a:off x="7075324" y="17183100"/>
                <a:ext cx="805866" cy="49003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1100-000024020000}"/>
                  </a:ext>
                </a:extLst>
              </xdr:cNvPr>
              <xdr:cNvCxnSpPr/>
            </xdr:nvCxnSpPr>
            <xdr:spPr>
              <a:xfrm flipV="1">
                <a:off x="7883195" y="16493541"/>
                <a:ext cx="0" cy="6938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9" name="Straight Connector 28">
                <a:extLst>
                  <a:ext uri="{FF2B5EF4-FFF2-40B4-BE49-F238E27FC236}">
                    <a16:creationId xmlns:a16="http://schemas.microsoft.com/office/drawing/2014/main" id="{00000000-0008-0000-1100-00001D000000}"/>
                  </a:ext>
                </a:extLst>
              </xdr:cNvPr>
              <xdr:cNvCxnSpPr/>
            </xdr:nvCxnSpPr>
            <xdr:spPr>
              <a:xfrm flipH="1" flipV="1">
                <a:off x="6189997" y="16918907"/>
                <a:ext cx="885324" cy="6266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1100-000018020000}"/>
                  </a:ext>
                </a:extLst>
              </xdr:cNvPr>
              <xdr:cNvCxnSpPr/>
            </xdr:nvCxnSpPr>
            <xdr:spPr>
              <a:xfrm flipH="1">
                <a:off x="6096000" y="16933446"/>
                <a:ext cx="428124" cy="26544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813283" name="Straight Connector 813282">
                <a:extLst>
                  <a:ext uri="{FF2B5EF4-FFF2-40B4-BE49-F238E27FC236}">
                    <a16:creationId xmlns:a16="http://schemas.microsoft.com/office/drawing/2014/main" id="{00000000-0008-0000-1100-0000E3680C00}"/>
                  </a:ext>
                </a:extLst>
              </xdr:cNvPr>
              <xdr:cNvCxnSpPr/>
            </xdr:nvCxnSpPr>
            <xdr:spPr>
              <a:xfrm>
                <a:off x="7684920" y="15991222"/>
                <a:ext cx="200526" cy="498308"/>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813286" name="Freeform 813285">
                <a:extLst>
                  <a:ext uri="{FF2B5EF4-FFF2-40B4-BE49-F238E27FC236}">
                    <a16:creationId xmlns:a16="http://schemas.microsoft.com/office/drawing/2014/main" id="{00000000-0008-0000-1100-0000E6680C00}"/>
                  </a:ext>
                </a:extLst>
              </xdr:cNvPr>
              <xdr:cNvSpPr/>
            </xdr:nvSpPr>
            <xdr:spPr>
              <a:xfrm>
                <a:off x="4609190" y="17065811"/>
                <a:ext cx="574665" cy="780779"/>
              </a:xfrm>
              <a:custGeom>
                <a:avLst/>
                <a:gdLst>
                  <a:gd name="connsiteX0" fmla="*/ 6266 w 469983"/>
                  <a:gd name="connsiteY0" fmla="*/ 0 h 714375"/>
                  <a:gd name="connsiteX1" fmla="*/ 388519 w 469983"/>
                  <a:gd name="connsiteY1" fmla="*/ 194260 h 714375"/>
                  <a:gd name="connsiteX2" fmla="*/ 413585 w 469983"/>
                  <a:gd name="connsiteY2" fmla="*/ 238125 h 714375"/>
                  <a:gd name="connsiteX3" fmla="*/ 438651 w 469983"/>
                  <a:gd name="connsiteY3" fmla="*/ 294523 h 714375"/>
                  <a:gd name="connsiteX4" fmla="*/ 451184 w 469983"/>
                  <a:gd name="connsiteY4" fmla="*/ 338388 h 714375"/>
                  <a:gd name="connsiteX5" fmla="*/ 469983 w 469983"/>
                  <a:gd name="connsiteY5" fmla="*/ 413586 h 714375"/>
                  <a:gd name="connsiteX6" fmla="*/ 469983 w 469983"/>
                  <a:gd name="connsiteY6" fmla="*/ 632911 h 714375"/>
                  <a:gd name="connsiteX7" fmla="*/ 457450 w 469983"/>
                  <a:gd name="connsiteY7" fmla="*/ 689309 h 714375"/>
                  <a:gd name="connsiteX8" fmla="*/ 438651 w 469983"/>
                  <a:gd name="connsiteY8" fmla="*/ 701842 h 714375"/>
                  <a:gd name="connsiteX9" fmla="*/ 413585 w 469983"/>
                  <a:gd name="connsiteY9" fmla="*/ 714375 h 714375"/>
                  <a:gd name="connsiteX10" fmla="*/ 375986 w 469983"/>
                  <a:gd name="connsiteY10" fmla="*/ 701842 h 714375"/>
                  <a:gd name="connsiteX11" fmla="*/ 0 w 469983"/>
                  <a:gd name="connsiteY11" fmla="*/ 501316 h 714375"/>
                  <a:gd name="connsiteX12" fmla="*/ 6266 w 469983"/>
                  <a:gd name="connsiteY12" fmla="*/ 0 h 714375"/>
                  <a:gd name="connsiteX0" fmla="*/ 28386 w 492103"/>
                  <a:gd name="connsiteY0" fmla="*/ 1553 h 715928"/>
                  <a:gd name="connsiteX1" fmla="*/ 410639 w 492103"/>
                  <a:gd name="connsiteY1" fmla="*/ 195813 h 715928"/>
                  <a:gd name="connsiteX2" fmla="*/ 435705 w 492103"/>
                  <a:gd name="connsiteY2" fmla="*/ 239678 h 715928"/>
                  <a:gd name="connsiteX3" fmla="*/ 460771 w 492103"/>
                  <a:gd name="connsiteY3" fmla="*/ 296076 h 715928"/>
                  <a:gd name="connsiteX4" fmla="*/ 473304 w 492103"/>
                  <a:gd name="connsiteY4" fmla="*/ 339941 h 715928"/>
                  <a:gd name="connsiteX5" fmla="*/ 492103 w 492103"/>
                  <a:gd name="connsiteY5" fmla="*/ 415139 h 715928"/>
                  <a:gd name="connsiteX6" fmla="*/ 492103 w 492103"/>
                  <a:gd name="connsiteY6" fmla="*/ 634464 h 715928"/>
                  <a:gd name="connsiteX7" fmla="*/ 479570 w 492103"/>
                  <a:gd name="connsiteY7" fmla="*/ 690862 h 715928"/>
                  <a:gd name="connsiteX8" fmla="*/ 460771 w 492103"/>
                  <a:gd name="connsiteY8" fmla="*/ 703395 h 715928"/>
                  <a:gd name="connsiteX9" fmla="*/ 435705 w 492103"/>
                  <a:gd name="connsiteY9" fmla="*/ 715928 h 715928"/>
                  <a:gd name="connsiteX10" fmla="*/ 398106 w 492103"/>
                  <a:gd name="connsiteY10" fmla="*/ 703395 h 715928"/>
                  <a:gd name="connsiteX11" fmla="*/ 22120 w 492103"/>
                  <a:gd name="connsiteY11" fmla="*/ 502869 h 715928"/>
                  <a:gd name="connsiteX12" fmla="*/ 48591 w 492103"/>
                  <a:gd name="connsiteY12" fmla="*/ 126884 h 715928"/>
                  <a:gd name="connsiteX13" fmla="*/ 28386 w 492103"/>
                  <a:gd name="connsiteY13" fmla="*/ 1553 h 715928"/>
                  <a:gd name="connsiteX0" fmla="*/ 13165 w 581267"/>
                  <a:gd name="connsiteY0" fmla="*/ 764 h 782285"/>
                  <a:gd name="connsiteX1" fmla="*/ 499803 w 581267"/>
                  <a:gd name="connsiteY1" fmla="*/ 262170 h 782285"/>
                  <a:gd name="connsiteX2" fmla="*/ 524869 w 581267"/>
                  <a:gd name="connsiteY2" fmla="*/ 306035 h 782285"/>
                  <a:gd name="connsiteX3" fmla="*/ 549935 w 581267"/>
                  <a:gd name="connsiteY3" fmla="*/ 362433 h 782285"/>
                  <a:gd name="connsiteX4" fmla="*/ 562468 w 581267"/>
                  <a:gd name="connsiteY4" fmla="*/ 406298 h 782285"/>
                  <a:gd name="connsiteX5" fmla="*/ 581267 w 581267"/>
                  <a:gd name="connsiteY5" fmla="*/ 481496 h 782285"/>
                  <a:gd name="connsiteX6" fmla="*/ 581267 w 581267"/>
                  <a:gd name="connsiteY6" fmla="*/ 700821 h 782285"/>
                  <a:gd name="connsiteX7" fmla="*/ 568734 w 581267"/>
                  <a:gd name="connsiteY7" fmla="*/ 757219 h 782285"/>
                  <a:gd name="connsiteX8" fmla="*/ 549935 w 581267"/>
                  <a:gd name="connsiteY8" fmla="*/ 769752 h 782285"/>
                  <a:gd name="connsiteX9" fmla="*/ 524869 w 581267"/>
                  <a:gd name="connsiteY9" fmla="*/ 782285 h 782285"/>
                  <a:gd name="connsiteX10" fmla="*/ 487270 w 581267"/>
                  <a:gd name="connsiteY10" fmla="*/ 769752 h 782285"/>
                  <a:gd name="connsiteX11" fmla="*/ 111284 w 581267"/>
                  <a:gd name="connsiteY11" fmla="*/ 569226 h 782285"/>
                  <a:gd name="connsiteX12" fmla="*/ 137755 w 581267"/>
                  <a:gd name="connsiteY12" fmla="*/ 193241 h 782285"/>
                  <a:gd name="connsiteX13" fmla="*/ 13165 w 581267"/>
                  <a:gd name="connsiteY13" fmla="*/ 764 h 782285"/>
                  <a:gd name="connsiteX0" fmla="*/ 23631 w 591733"/>
                  <a:gd name="connsiteY0" fmla="*/ 7646 h 789167"/>
                  <a:gd name="connsiteX1" fmla="*/ 510269 w 591733"/>
                  <a:gd name="connsiteY1" fmla="*/ 269052 h 789167"/>
                  <a:gd name="connsiteX2" fmla="*/ 535335 w 591733"/>
                  <a:gd name="connsiteY2" fmla="*/ 312917 h 789167"/>
                  <a:gd name="connsiteX3" fmla="*/ 560401 w 591733"/>
                  <a:gd name="connsiteY3" fmla="*/ 369315 h 789167"/>
                  <a:gd name="connsiteX4" fmla="*/ 572934 w 591733"/>
                  <a:gd name="connsiteY4" fmla="*/ 413180 h 789167"/>
                  <a:gd name="connsiteX5" fmla="*/ 591733 w 591733"/>
                  <a:gd name="connsiteY5" fmla="*/ 488378 h 789167"/>
                  <a:gd name="connsiteX6" fmla="*/ 591733 w 591733"/>
                  <a:gd name="connsiteY6" fmla="*/ 707703 h 789167"/>
                  <a:gd name="connsiteX7" fmla="*/ 579200 w 591733"/>
                  <a:gd name="connsiteY7" fmla="*/ 764101 h 789167"/>
                  <a:gd name="connsiteX8" fmla="*/ 560401 w 591733"/>
                  <a:gd name="connsiteY8" fmla="*/ 776634 h 789167"/>
                  <a:gd name="connsiteX9" fmla="*/ 535335 w 591733"/>
                  <a:gd name="connsiteY9" fmla="*/ 789167 h 789167"/>
                  <a:gd name="connsiteX10" fmla="*/ 497736 w 591733"/>
                  <a:gd name="connsiteY10" fmla="*/ 776634 h 789167"/>
                  <a:gd name="connsiteX11" fmla="*/ 121750 w 591733"/>
                  <a:gd name="connsiteY11" fmla="*/ 576108 h 789167"/>
                  <a:gd name="connsiteX12" fmla="*/ 148221 w 591733"/>
                  <a:gd name="connsiteY12" fmla="*/ 200123 h 789167"/>
                  <a:gd name="connsiteX13" fmla="*/ 86540 w 591733"/>
                  <a:gd name="connsiteY13" fmla="*/ 80221 h 789167"/>
                  <a:gd name="connsiteX14" fmla="*/ 23631 w 591733"/>
                  <a:gd name="connsiteY14" fmla="*/ 7646 h 789167"/>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47349 w 590861"/>
                  <a:gd name="connsiteY12" fmla="*/ 200685 h 789729"/>
                  <a:gd name="connsiteX13" fmla="*/ 85668 w 590861"/>
                  <a:gd name="connsiteY13" fmla="*/ 80783 h 789729"/>
                  <a:gd name="connsiteX14" fmla="*/ 22759 w 590861"/>
                  <a:gd name="connsiteY14"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47349 w 590861"/>
                  <a:gd name="connsiteY12" fmla="*/ 200685 h 789729"/>
                  <a:gd name="connsiteX13" fmla="*/ 130744 w 590861"/>
                  <a:gd name="connsiteY13" fmla="*/ 162317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5997 w 590861"/>
                  <a:gd name="connsiteY12" fmla="*/ 205481 h 789729"/>
                  <a:gd name="connsiteX13" fmla="*/ 130744 w 590861"/>
                  <a:gd name="connsiteY13" fmla="*/ 162317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5997 w 590861"/>
                  <a:gd name="connsiteY12" fmla="*/ 205481 h 789729"/>
                  <a:gd name="connsiteX13" fmla="*/ 130744 w 590861"/>
                  <a:gd name="connsiteY13" fmla="*/ 162317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5997 w 590861"/>
                  <a:gd name="connsiteY12" fmla="*/ 205481 h 789729"/>
                  <a:gd name="connsiteX13" fmla="*/ 121254 w 590861"/>
                  <a:gd name="connsiteY13" fmla="*/ 135939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3626 w 590861"/>
                  <a:gd name="connsiteY12" fmla="*/ 390135 h 789729"/>
                  <a:gd name="connsiteX13" fmla="*/ 125997 w 590861"/>
                  <a:gd name="connsiteY13" fmla="*/ 205481 h 789729"/>
                  <a:gd name="connsiteX14" fmla="*/ 121254 w 590861"/>
                  <a:gd name="connsiteY14" fmla="*/ 135939 h 789729"/>
                  <a:gd name="connsiteX15" fmla="*/ 85668 w 590861"/>
                  <a:gd name="connsiteY15" fmla="*/ 80783 h 789729"/>
                  <a:gd name="connsiteX16" fmla="*/ 22759 w 590861"/>
                  <a:gd name="connsiteY16"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1254 w 590861"/>
                  <a:gd name="connsiteY12" fmla="*/ 512437 h 789729"/>
                  <a:gd name="connsiteX13" fmla="*/ 123626 w 590861"/>
                  <a:gd name="connsiteY13" fmla="*/ 390135 h 789729"/>
                  <a:gd name="connsiteX14" fmla="*/ 125997 w 590861"/>
                  <a:gd name="connsiteY14" fmla="*/ 205481 h 789729"/>
                  <a:gd name="connsiteX15" fmla="*/ 121254 w 590861"/>
                  <a:gd name="connsiteY15" fmla="*/ 135939 h 789729"/>
                  <a:gd name="connsiteX16" fmla="*/ 85668 w 590861"/>
                  <a:gd name="connsiteY16" fmla="*/ 80783 h 789729"/>
                  <a:gd name="connsiteX17" fmla="*/ 22759 w 590861"/>
                  <a:gd name="connsiteY17"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1254 w 590861"/>
                  <a:gd name="connsiteY12" fmla="*/ 543612 h 789729"/>
                  <a:gd name="connsiteX13" fmla="*/ 121254 w 590861"/>
                  <a:gd name="connsiteY13" fmla="*/ 512437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1254 w 590861"/>
                  <a:gd name="connsiteY12" fmla="*/ 543612 h 789729"/>
                  <a:gd name="connsiteX13" fmla="*/ 121254 w 590861"/>
                  <a:gd name="connsiteY13" fmla="*/ 512437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3626 w 590861"/>
                  <a:gd name="connsiteY12" fmla="*/ 565194 h 789729"/>
                  <a:gd name="connsiteX13" fmla="*/ 121254 w 590861"/>
                  <a:gd name="connsiteY13" fmla="*/ 512437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3626 w 590861"/>
                  <a:gd name="connsiteY12" fmla="*/ 565194 h 789729"/>
                  <a:gd name="connsiteX13" fmla="*/ 121254 w 590861"/>
                  <a:gd name="connsiteY13" fmla="*/ 478864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3626 w 590861"/>
                  <a:gd name="connsiteY12" fmla="*/ 565194 h 789729"/>
                  <a:gd name="connsiteX13" fmla="*/ 121254 w 590861"/>
                  <a:gd name="connsiteY13" fmla="*/ 478864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58637 w 589969"/>
                  <a:gd name="connsiteY3" fmla="*/ 369877 h 789729"/>
                  <a:gd name="connsiteX4" fmla="*/ 571170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35939 h 789729"/>
                  <a:gd name="connsiteX17" fmla="*/ 91893 w 589969"/>
                  <a:gd name="connsiteY17" fmla="*/ 80783 h 789729"/>
                  <a:gd name="connsiteX18" fmla="*/ 21867 w 589969"/>
                  <a:gd name="connsiteY18"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58637 w 589969"/>
                  <a:gd name="connsiteY3" fmla="*/ 369877 h 789729"/>
                  <a:gd name="connsiteX4" fmla="*/ 571170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58637 w 589969"/>
                  <a:gd name="connsiteY3" fmla="*/ 369877 h 789729"/>
                  <a:gd name="connsiteX4" fmla="*/ 585404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70499 w 589969"/>
                  <a:gd name="connsiteY3" fmla="*/ 357887 h 789729"/>
                  <a:gd name="connsiteX4" fmla="*/ 585404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1867 w 589969"/>
                  <a:gd name="connsiteY0" fmla="*/ 8208 h 789729"/>
                  <a:gd name="connsiteX1" fmla="*/ 508505 w 589969"/>
                  <a:gd name="connsiteY1" fmla="*/ 269614 h 789729"/>
                  <a:gd name="connsiteX2" fmla="*/ 543060 w 589969"/>
                  <a:gd name="connsiteY2" fmla="*/ 306285 h 789729"/>
                  <a:gd name="connsiteX3" fmla="*/ 570499 w 589969"/>
                  <a:gd name="connsiteY3" fmla="*/ 357887 h 789729"/>
                  <a:gd name="connsiteX4" fmla="*/ 585404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4416 w 573539"/>
                  <a:gd name="connsiteY0" fmla="*/ 9716 h 776848"/>
                  <a:gd name="connsiteX1" fmla="*/ 492075 w 573539"/>
                  <a:gd name="connsiteY1" fmla="*/ 256733 h 776848"/>
                  <a:gd name="connsiteX2" fmla="*/ 526630 w 573539"/>
                  <a:gd name="connsiteY2" fmla="*/ 293404 h 776848"/>
                  <a:gd name="connsiteX3" fmla="*/ 554069 w 573539"/>
                  <a:gd name="connsiteY3" fmla="*/ 345006 h 776848"/>
                  <a:gd name="connsiteX4" fmla="*/ 568974 w 573539"/>
                  <a:gd name="connsiteY4" fmla="*/ 400861 h 776848"/>
                  <a:gd name="connsiteX5" fmla="*/ 573539 w 573539"/>
                  <a:gd name="connsiteY5" fmla="*/ 476059 h 776848"/>
                  <a:gd name="connsiteX6" fmla="*/ 573539 w 573539"/>
                  <a:gd name="connsiteY6" fmla="*/ 695384 h 776848"/>
                  <a:gd name="connsiteX7" fmla="*/ 561006 w 573539"/>
                  <a:gd name="connsiteY7" fmla="*/ 751782 h 776848"/>
                  <a:gd name="connsiteX8" fmla="*/ 542207 w 573539"/>
                  <a:gd name="connsiteY8" fmla="*/ 764315 h 776848"/>
                  <a:gd name="connsiteX9" fmla="*/ 517141 w 573539"/>
                  <a:gd name="connsiteY9" fmla="*/ 776848 h 776848"/>
                  <a:gd name="connsiteX10" fmla="*/ 479542 w 573539"/>
                  <a:gd name="connsiteY10" fmla="*/ 764315 h 776848"/>
                  <a:gd name="connsiteX11" fmla="*/ 219803 w 573539"/>
                  <a:gd name="connsiteY11" fmla="*/ 623741 h 776848"/>
                  <a:gd name="connsiteX12" fmla="*/ 106304 w 573539"/>
                  <a:gd name="connsiteY12" fmla="*/ 552313 h 776848"/>
                  <a:gd name="connsiteX13" fmla="*/ 103932 w 573539"/>
                  <a:gd name="connsiteY13" fmla="*/ 465983 h 776848"/>
                  <a:gd name="connsiteX14" fmla="*/ 106304 w 573539"/>
                  <a:gd name="connsiteY14" fmla="*/ 377254 h 776848"/>
                  <a:gd name="connsiteX15" fmla="*/ 108675 w 573539"/>
                  <a:gd name="connsiteY15" fmla="*/ 192600 h 776848"/>
                  <a:gd name="connsiteX16" fmla="*/ 103932 w 573539"/>
                  <a:gd name="connsiteY16" fmla="*/ 142243 h 776848"/>
                  <a:gd name="connsiteX17" fmla="*/ 103932 w 573539"/>
                  <a:gd name="connsiteY17" fmla="*/ 123058 h 776848"/>
                  <a:gd name="connsiteX18" fmla="*/ 75463 w 573539"/>
                  <a:gd name="connsiteY18" fmla="*/ 67902 h 776848"/>
                  <a:gd name="connsiteX19" fmla="*/ 24416 w 573539"/>
                  <a:gd name="connsiteY19" fmla="*/ 9716 h 776848"/>
                  <a:gd name="connsiteX0" fmla="*/ 25528 w 567534"/>
                  <a:gd name="connsiteY0" fmla="*/ 8902 h 783228"/>
                  <a:gd name="connsiteX1" fmla="*/ 486070 w 567534"/>
                  <a:gd name="connsiteY1" fmla="*/ 263113 h 783228"/>
                  <a:gd name="connsiteX2" fmla="*/ 520625 w 567534"/>
                  <a:gd name="connsiteY2" fmla="*/ 299784 h 783228"/>
                  <a:gd name="connsiteX3" fmla="*/ 548064 w 567534"/>
                  <a:gd name="connsiteY3" fmla="*/ 351386 h 783228"/>
                  <a:gd name="connsiteX4" fmla="*/ 562969 w 567534"/>
                  <a:gd name="connsiteY4" fmla="*/ 407241 h 783228"/>
                  <a:gd name="connsiteX5" fmla="*/ 567534 w 567534"/>
                  <a:gd name="connsiteY5" fmla="*/ 482439 h 783228"/>
                  <a:gd name="connsiteX6" fmla="*/ 567534 w 567534"/>
                  <a:gd name="connsiteY6" fmla="*/ 701764 h 783228"/>
                  <a:gd name="connsiteX7" fmla="*/ 555001 w 567534"/>
                  <a:gd name="connsiteY7" fmla="*/ 758162 h 783228"/>
                  <a:gd name="connsiteX8" fmla="*/ 536202 w 567534"/>
                  <a:gd name="connsiteY8" fmla="*/ 770695 h 783228"/>
                  <a:gd name="connsiteX9" fmla="*/ 511136 w 567534"/>
                  <a:gd name="connsiteY9" fmla="*/ 783228 h 783228"/>
                  <a:gd name="connsiteX10" fmla="*/ 473537 w 567534"/>
                  <a:gd name="connsiteY10" fmla="*/ 770695 h 783228"/>
                  <a:gd name="connsiteX11" fmla="*/ 213798 w 567534"/>
                  <a:gd name="connsiteY11" fmla="*/ 630121 h 783228"/>
                  <a:gd name="connsiteX12" fmla="*/ 100299 w 567534"/>
                  <a:gd name="connsiteY12" fmla="*/ 558693 h 783228"/>
                  <a:gd name="connsiteX13" fmla="*/ 97927 w 567534"/>
                  <a:gd name="connsiteY13" fmla="*/ 472363 h 783228"/>
                  <a:gd name="connsiteX14" fmla="*/ 100299 w 567534"/>
                  <a:gd name="connsiteY14" fmla="*/ 383634 h 783228"/>
                  <a:gd name="connsiteX15" fmla="*/ 102670 w 567534"/>
                  <a:gd name="connsiteY15" fmla="*/ 198980 h 783228"/>
                  <a:gd name="connsiteX16" fmla="*/ 97927 w 567534"/>
                  <a:gd name="connsiteY16" fmla="*/ 148623 h 783228"/>
                  <a:gd name="connsiteX17" fmla="*/ 97927 w 567534"/>
                  <a:gd name="connsiteY17" fmla="*/ 129438 h 783228"/>
                  <a:gd name="connsiteX18" fmla="*/ 69458 w 567534"/>
                  <a:gd name="connsiteY18" fmla="*/ 74282 h 783228"/>
                  <a:gd name="connsiteX19" fmla="*/ 25528 w 567534"/>
                  <a:gd name="connsiteY19" fmla="*/ 8902 h 783228"/>
                  <a:gd name="connsiteX0" fmla="*/ 24775 w 571526"/>
                  <a:gd name="connsiteY0" fmla="*/ 8659 h 785383"/>
                  <a:gd name="connsiteX1" fmla="*/ 490062 w 571526"/>
                  <a:gd name="connsiteY1" fmla="*/ 265268 h 785383"/>
                  <a:gd name="connsiteX2" fmla="*/ 524617 w 571526"/>
                  <a:gd name="connsiteY2" fmla="*/ 301939 h 785383"/>
                  <a:gd name="connsiteX3" fmla="*/ 552056 w 571526"/>
                  <a:gd name="connsiteY3" fmla="*/ 353541 h 785383"/>
                  <a:gd name="connsiteX4" fmla="*/ 566961 w 571526"/>
                  <a:gd name="connsiteY4" fmla="*/ 409396 h 785383"/>
                  <a:gd name="connsiteX5" fmla="*/ 571526 w 571526"/>
                  <a:gd name="connsiteY5" fmla="*/ 484594 h 785383"/>
                  <a:gd name="connsiteX6" fmla="*/ 571526 w 571526"/>
                  <a:gd name="connsiteY6" fmla="*/ 703919 h 785383"/>
                  <a:gd name="connsiteX7" fmla="*/ 558993 w 571526"/>
                  <a:gd name="connsiteY7" fmla="*/ 760317 h 785383"/>
                  <a:gd name="connsiteX8" fmla="*/ 540194 w 571526"/>
                  <a:gd name="connsiteY8" fmla="*/ 772850 h 785383"/>
                  <a:gd name="connsiteX9" fmla="*/ 515128 w 571526"/>
                  <a:gd name="connsiteY9" fmla="*/ 785383 h 785383"/>
                  <a:gd name="connsiteX10" fmla="*/ 477529 w 571526"/>
                  <a:gd name="connsiteY10" fmla="*/ 772850 h 785383"/>
                  <a:gd name="connsiteX11" fmla="*/ 217790 w 571526"/>
                  <a:gd name="connsiteY11" fmla="*/ 632276 h 785383"/>
                  <a:gd name="connsiteX12" fmla="*/ 104291 w 571526"/>
                  <a:gd name="connsiteY12" fmla="*/ 560848 h 785383"/>
                  <a:gd name="connsiteX13" fmla="*/ 101919 w 571526"/>
                  <a:gd name="connsiteY13" fmla="*/ 474518 h 785383"/>
                  <a:gd name="connsiteX14" fmla="*/ 104291 w 571526"/>
                  <a:gd name="connsiteY14" fmla="*/ 385789 h 785383"/>
                  <a:gd name="connsiteX15" fmla="*/ 106662 w 571526"/>
                  <a:gd name="connsiteY15" fmla="*/ 201135 h 785383"/>
                  <a:gd name="connsiteX16" fmla="*/ 101919 w 571526"/>
                  <a:gd name="connsiteY16" fmla="*/ 150778 h 785383"/>
                  <a:gd name="connsiteX17" fmla="*/ 101919 w 571526"/>
                  <a:gd name="connsiteY17" fmla="*/ 131593 h 785383"/>
                  <a:gd name="connsiteX18" fmla="*/ 73450 w 571526"/>
                  <a:gd name="connsiteY18" fmla="*/ 76437 h 785383"/>
                  <a:gd name="connsiteX19" fmla="*/ 24775 w 571526"/>
                  <a:gd name="connsiteY19" fmla="*/ 8659 h 785383"/>
                  <a:gd name="connsiteX0" fmla="*/ 25774 w 572525"/>
                  <a:gd name="connsiteY0" fmla="*/ 9573 h 786297"/>
                  <a:gd name="connsiteX1" fmla="*/ 491061 w 572525"/>
                  <a:gd name="connsiteY1" fmla="*/ 266182 h 786297"/>
                  <a:gd name="connsiteX2" fmla="*/ 525616 w 572525"/>
                  <a:gd name="connsiteY2" fmla="*/ 302853 h 786297"/>
                  <a:gd name="connsiteX3" fmla="*/ 553055 w 572525"/>
                  <a:gd name="connsiteY3" fmla="*/ 354455 h 786297"/>
                  <a:gd name="connsiteX4" fmla="*/ 567960 w 572525"/>
                  <a:gd name="connsiteY4" fmla="*/ 410310 h 786297"/>
                  <a:gd name="connsiteX5" fmla="*/ 572525 w 572525"/>
                  <a:gd name="connsiteY5" fmla="*/ 485508 h 786297"/>
                  <a:gd name="connsiteX6" fmla="*/ 572525 w 572525"/>
                  <a:gd name="connsiteY6" fmla="*/ 704833 h 786297"/>
                  <a:gd name="connsiteX7" fmla="*/ 559992 w 572525"/>
                  <a:gd name="connsiteY7" fmla="*/ 761231 h 786297"/>
                  <a:gd name="connsiteX8" fmla="*/ 541193 w 572525"/>
                  <a:gd name="connsiteY8" fmla="*/ 773764 h 786297"/>
                  <a:gd name="connsiteX9" fmla="*/ 516127 w 572525"/>
                  <a:gd name="connsiteY9" fmla="*/ 786297 h 786297"/>
                  <a:gd name="connsiteX10" fmla="*/ 478528 w 572525"/>
                  <a:gd name="connsiteY10" fmla="*/ 773764 h 786297"/>
                  <a:gd name="connsiteX11" fmla="*/ 218789 w 572525"/>
                  <a:gd name="connsiteY11" fmla="*/ 633190 h 786297"/>
                  <a:gd name="connsiteX12" fmla="*/ 105290 w 572525"/>
                  <a:gd name="connsiteY12" fmla="*/ 561762 h 786297"/>
                  <a:gd name="connsiteX13" fmla="*/ 102918 w 572525"/>
                  <a:gd name="connsiteY13" fmla="*/ 475432 h 786297"/>
                  <a:gd name="connsiteX14" fmla="*/ 105290 w 572525"/>
                  <a:gd name="connsiteY14" fmla="*/ 386703 h 786297"/>
                  <a:gd name="connsiteX15" fmla="*/ 107661 w 572525"/>
                  <a:gd name="connsiteY15" fmla="*/ 202049 h 786297"/>
                  <a:gd name="connsiteX16" fmla="*/ 102918 w 572525"/>
                  <a:gd name="connsiteY16" fmla="*/ 151692 h 786297"/>
                  <a:gd name="connsiteX17" fmla="*/ 102918 w 572525"/>
                  <a:gd name="connsiteY17" fmla="*/ 132507 h 786297"/>
                  <a:gd name="connsiteX18" fmla="*/ 74449 w 572525"/>
                  <a:gd name="connsiteY18" fmla="*/ 77351 h 786297"/>
                  <a:gd name="connsiteX19" fmla="*/ 25774 w 572525"/>
                  <a:gd name="connsiteY19" fmla="*/ 9573 h 786297"/>
                  <a:gd name="connsiteX0" fmla="*/ 25774 w 572525"/>
                  <a:gd name="connsiteY0" fmla="*/ 9573 h 786297"/>
                  <a:gd name="connsiteX1" fmla="*/ 491061 w 572525"/>
                  <a:gd name="connsiteY1" fmla="*/ 266182 h 786297"/>
                  <a:gd name="connsiteX2" fmla="*/ 525616 w 572525"/>
                  <a:gd name="connsiteY2" fmla="*/ 302853 h 786297"/>
                  <a:gd name="connsiteX3" fmla="*/ 553055 w 572525"/>
                  <a:gd name="connsiteY3" fmla="*/ 354455 h 786297"/>
                  <a:gd name="connsiteX4" fmla="*/ 567960 w 572525"/>
                  <a:gd name="connsiteY4" fmla="*/ 410310 h 786297"/>
                  <a:gd name="connsiteX5" fmla="*/ 572525 w 572525"/>
                  <a:gd name="connsiteY5" fmla="*/ 485508 h 786297"/>
                  <a:gd name="connsiteX6" fmla="*/ 572525 w 572525"/>
                  <a:gd name="connsiteY6" fmla="*/ 704833 h 786297"/>
                  <a:gd name="connsiteX7" fmla="*/ 564737 w 572525"/>
                  <a:gd name="connsiteY7" fmla="*/ 744444 h 786297"/>
                  <a:gd name="connsiteX8" fmla="*/ 541193 w 572525"/>
                  <a:gd name="connsiteY8" fmla="*/ 773764 h 786297"/>
                  <a:gd name="connsiteX9" fmla="*/ 516127 w 572525"/>
                  <a:gd name="connsiteY9" fmla="*/ 786297 h 786297"/>
                  <a:gd name="connsiteX10" fmla="*/ 478528 w 572525"/>
                  <a:gd name="connsiteY10" fmla="*/ 773764 h 786297"/>
                  <a:gd name="connsiteX11" fmla="*/ 218789 w 572525"/>
                  <a:gd name="connsiteY11" fmla="*/ 633190 h 786297"/>
                  <a:gd name="connsiteX12" fmla="*/ 105290 w 572525"/>
                  <a:gd name="connsiteY12" fmla="*/ 561762 h 786297"/>
                  <a:gd name="connsiteX13" fmla="*/ 102918 w 572525"/>
                  <a:gd name="connsiteY13" fmla="*/ 475432 h 786297"/>
                  <a:gd name="connsiteX14" fmla="*/ 105290 w 572525"/>
                  <a:gd name="connsiteY14" fmla="*/ 386703 h 786297"/>
                  <a:gd name="connsiteX15" fmla="*/ 107661 w 572525"/>
                  <a:gd name="connsiteY15" fmla="*/ 202049 h 786297"/>
                  <a:gd name="connsiteX16" fmla="*/ 102918 w 572525"/>
                  <a:gd name="connsiteY16" fmla="*/ 151692 h 786297"/>
                  <a:gd name="connsiteX17" fmla="*/ 102918 w 572525"/>
                  <a:gd name="connsiteY17" fmla="*/ 132507 h 786297"/>
                  <a:gd name="connsiteX18" fmla="*/ 74449 w 572525"/>
                  <a:gd name="connsiteY18" fmla="*/ 77351 h 786297"/>
                  <a:gd name="connsiteX19" fmla="*/ 25774 w 572525"/>
                  <a:gd name="connsiteY19" fmla="*/ 9573 h 7862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572525" h="786297">
                    <a:moveTo>
                      <a:pt x="25774" y="9573"/>
                    </a:moveTo>
                    <a:lnTo>
                      <a:pt x="491061" y="266182"/>
                    </a:lnTo>
                    <a:lnTo>
                      <a:pt x="525616" y="302853"/>
                    </a:lnTo>
                    <a:lnTo>
                      <a:pt x="553055" y="354455"/>
                    </a:lnTo>
                    <a:lnTo>
                      <a:pt x="567960" y="410310"/>
                    </a:lnTo>
                    <a:lnTo>
                      <a:pt x="572525" y="485508"/>
                    </a:lnTo>
                    <a:lnTo>
                      <a:pt x="572525" y="704833"/>
                    </a:lnTo>
                    <a:lnTo>
                      <a:pt x="564737" y="744444"/>
                    </a:lnTo>
                    <a:lnTo>
                      <a:pt x="541193" y="773764"/>
                    </a:lnTo>
                    <a:lnTo>
                      <a:pt x="516127" y="786297"/>
                    </a:lnTo>
                    <a:lnTo>
                      <a:pt x="478528" y="773764"/>
                    </a:lnTo>
                    <a:lnTo>
                      <a:pt x="218789" y="633190"/>
                    </a:lnTo>
                    <a:cubicBezTo>
                      <a:pt x="151838" y="595059"/>
                      <a:pt x="105227" y="572467"/>
                      <a:pt x="105290" y="561762"/>
                    </a:cubicBezTo>
                    <a:cubicBezTo>
                      <a:pt x="105353" y="551057"/>
                      <a:pt x="105290" y="504208"/>
                      <a:pt x="102918" y="475432"/>
                    </a:cubicBezTo>
                    <a:cubicBezTo>
                      <a:pt x="107663" y="449053"/>
                      <a:pt x="99359" y="438262"/>
                      <a:pt x="105290" y="386703"/>
                    </a:cubicBezTo>
                    <a:cubicBezTo>
                      <a:pt x="111221" y="335144"/>
                      <a:pt x="108452" y="243216"/>
                      <a:pt x="107661" y="202049"/>
                    </a:cubicBezTo>
                    <a:cubicBezTo>
                      <a:pt x="106870" y="160882"/>
                      <a:pt x="103708" y="163282"/>
                      <a:pt x="102918" y="151692"/>
                    </a:cubicBezTo>
                    <a:cubicBezTo>
                      <a:pt x="102128" y="140102"/>
                      <a:pt x="107268" y="142899"/>
                      <a:pt x="102918" y="132507"/>
                    </a:cubicBezTo>
                    <a:cubicBezTo>
                      <a:pt x="98569" y="122116"/>
                      <a:pt x="94028" y="102636"/>
                      <a:pt x="74449" y="77351"/>
                    </a:cubicBezTo>
                    <a:cubicBezTo>
                      <a:pt x="60802" y="38078"/>
                      <a:pt x="-48801" y="-23897"/>
                      <a:pt x="25774" y="9573"/>
                    </a:cubicBezTo>
                    <a:close/>
                  </a:path>
                </a:pathLst>
              </a:custGeom>
              <a:gradFill>
                <a:gsLst>
                  <a:gs pos="0">
                    <a:srgbClr val="CCFFCC"/>
                  </a:gs>
                  <a:gs pos="50000">
                    <a:srgbClr val="CCFFFF"/>
                  </a:gs>
                  <a:gs pos="100000">
                    <a:srgbClr val="E1E8F5"/>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550" name="Straight Connector 549">
                <a:extLst>
                  <a:ext uri="{FF2B5EF4-FFF2-40B4-BE49-F238E27FC236}">
                    <a16:creationId xmlns:a16="http://schemas.microsoft.com/office/drawing/2014/main" id="{00000000-0008-0000-1100-000026020000}"/>
                  </a:ext>
                </a:extLst>
              </xdr:cNvPr>
              <xdr:cNvCxnSpPr/>
            </xdr:nvCxnSpPr>
            <xdr:spPr>
              <a:xfrm>
                <a:off x="7785183" y="16302538"/>
                <a:ext cx="102268" cy="87429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1100-00002E020000}"/>
                  </a:ext>
                </a:extLst>
              </xdr:cNvPr>
              <xdr:cNvCxnSpPr/>
            </xdr:nvCxnSpPr>
            <xdr:spPr>
              <a:xfrm flipV="1">
                <a:off x="7206916" y="17036726"/>
                <a:ext cx="6020" cy="704339"/>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561" name="Freeform 560">
                <a:extLst>
                  <a:ext uri="{FF2B5EF4-FFF2-40B4-BE49-F238E27FC236}">
                    <a16:creationId xmlns:a16="http://schemas.microsoft.com/office/drawing/2014/main" id="{00000000-0008-0000-1100-000031020000}"/>
                  </a:ext>
                </a:extLst>
              </xdr:cNvPr>
              <xdr:cNvSpPr/>
            </xdr:nvSpPr>
            <xdr:spPr>
              <a:xfrm>
                <a:off x="7215188" y="16555112"/>
                <a:ext cx="806390" cy="1175425"/>
              </a:xfrm>
              <a:custGeom>
                <a:avLst/>
                <a:gdLst>
                  <a:gd name="connsiteX0" fmla="*/ 802105 w 802105"/>
                  <a:gd name="connsiteY0" fmla="*/ 0 h 1190625"/>
                  <a:gd name="connsiteX1" fmla="*/ 802105 w 802105"/>
                  <a:gd name="connsiteY1" fmla="*/ 689310 h 1190625"/>
                  <a:gd name="connsiteX2" fmla="*/ 0 w 802105"/>
                  <a:gd name="connsiteY2" fmla="*/ 1190625 h 1190625"/>
                  <a:gd name="connsiteX3" fmla="*/ 0 w 802105"/>
                  <a:gd name="connsiteY3" fmla="*/ 501316 h 1190625"/>
                  <a:gd name="connsiteX4" fmla="*/ 802105 w 802105"/>
                  <a:gd name="connsiteY4" fmla="*/ 0 h 11906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02105" h="1190625">
                    <a:moveTo>
                      <a:pt x="802105" y="0"/>
                    </a:moveTo>
                    <a:lnTo>
                      <a:pt x="802105" y="689310"/>
                    </a:lnTo>
                    <a:lnTo>
                      <a:pt x="0" y="1190625"/>
                    </a:lnTo>
                    <a:lnTo>
                      <a:pt x="0" y="501316"/>
                    </a:lnTo>
                    <a:lnTo>
                      <a:pt x="802105" y="0"/>
                    </a:lnTo>
                    <a:close/>
                  </a:path>
                </a:pathLst>
              </a:custGeom>
              <a:gradFill>
                <a:gsLst>
                  <a:gs pos="0">
                    <a:schemeClr val="bg1">
                      <a:lumMod val="50000"/>
                    </a:schemeClr>
                  </a:gs>
                  <a:gs pos="50000">
                    <a:srgbClr val="CCFFFF"/>
                  </a:gs>
                  <a:gs pos="100000">
                    <a:srgbClr val="E1E8F5"/>
                  </a:gs>
                </a:gsLst>
                <a:lin ang="12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813287" name="Freeform 813286">
                <a:extLst>
                  <a:ext uri="{FF2B5EF4-FFF2-40B4-BE49-F238E27FC236}">
                    <a16:creationId xmlns:a16="http://schemas.microsoft.com/office/drawing/2014/main" id="{00000000-0008-0000-1100-0000E7680C00}"/>
                  </a:ext>
                </a:extLst>
              </xdr:cNvPr>
              <xdr:cNvSpPr/>
            </xdr:nvSpPr>
            <xdr:spPr>
              <a:xfrm>
                <a:off x="7081587" y="16483263"/>
                <a:ext cx="803859" cy="1183606"/>
              </a:xfrm>
              <a:custGeom>
                <a:avLst/>
                <a:gdLst>
                  <a:gd name="connsiteX0" fmla="*/ 802105 w 802105"/>
                  <a:gd name="connsiteY0" fmla="*/ 0 h 1190625"/>
                  <a:gd name="connsiteX1" fmla="*/ 802105 w 802105"/>
                  <a:gd name="connsiteY1" fmla="*/ 689310 h 1190625"/>
                  <a:gd name="connsiteX2" fmla="*/ 0 w 802105"/>
                  <a:gd name="connsiteY2" fmla="*/ 1190625 h 1190625"/>
                  <a:gd name="connsiteX3" fmla="*/ 0 w 802105"/>
                  <a:gd name="connsiteY3" fmla="*/ 501316 h 1190625"/>
                  <a:gd name="connsiteX4" fmla="*/ 802105 w 802105"/>
                  <a:gd name="connsiteY4" fmla="*/ 0 h 11906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02105" h="1190625">
                    <a:moveTo>
                      <a:pt x="802105" y="0"/>
                    </a:moveTo>
                    <a:lnTo>
                      <a:pt x="802105" y="689310"/>
                    </a:lnTo>
                    <a:lnTo>
                      <a:pt x="0" y="1190625"/>
                    </a:lnTo>
                    <a:lnTo>
                      <a:pt x="0" y="501316"/>
                    </a:lnTo>
                    <a:lnTo>
                      <a:pt x="802105" y="0"/>
                    </a:lnTo>
                    <a:close/>
                  </a:path>
                </a:pathLst>
              </a:custGeom>
              <a:gradFill flip="none" rotWithShape="1">
                <a:gsLst>
                  <a:gs pos="0">
                    <a:schemeClr val="bg1">
                      <a:lumMod val="50000"/>
                    </a:schemeClr>
                  </a:gs>
                  <a:gs pos="50000">
                    <a:srgbClr val="CCFFFF"/>
                  </a:gs>
                  <a:gs pos="100000">
                    <a:srgbClr val="E1E8F5"/>
                  </a:gs>
                </a:gsLst>
                <a:lin ang="8100000" scaled="1"/>
                <a:tileRect/>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09" name="Freeform 137708">
                <a:extLst>
                  <a:ext uri="{FF2B5EF4-FFF2-40B4-BE49-F238E27FC236}">
                    <a16:creationId xmlns:a16="http://schemas.microsoft.com/office/drawing/2014/main" id="{00000000-0008-0000-1100-0000ED190200}"/>
                  </a:ext>
                </a:extLst>
              </xdr:cNvPr>
              <xdr:cNvSpPr/>
            </xdr:nvSpPr>
            <xdr:spPr>
              <a:xfrm>
                <a:off x="7075321" y="16489530"/>
                <a:ext cx="937209" cy="566235"/>
              </a:xfrm>
              <a:custGeom>
                <a:avLst/>
                <a:gdLst>
                  <a:gd name="connsiteX0" fmla="*/ 808371 w 933700"/>
                  <a:gd name="connsiteY0" fmla="*/ 0 h 570246"/>
                  <a:gd name="connsiteX1" fmla="*/ 933700 w 933700"/>
                  <a:gd name="connsiteY1" fmla="*/ 68931 h 570246"/>
                  <a:gd name="connsiteX2" fmla="*/ 137862 w 933700"/>
                  <a:gd name="connsiteY2" fmla="*/ 570246 h 570246"/>
                  <a:gd name="connsiteX3" fmla="*/ 0 w 933700"/>
                  <a:gd name="connsiteY3" fmla="*/ 501316 h 570246"/>
                  <a:gd name="connsiteX4" fmla="*/ 808371 w 933700"/>
                  <a:gd name="connsiteY4" fmla="*/ 0 h 57024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33700" h="570246">
                    <a:moveTo>
                      <a:pt x="808371" y="0"/>
                    </a:moveTo>
                    <a:lnTo>
                      <a:pt x="933700" y="68931"/>
                    </a:lnTo>
                    <a:lnTo>
                      <a:pt x="137862" y="570246"/>
                    </a:lnTo>
                    <a:lnTo>
                      <a:pt x="0" y="501316"/>
                    </a:lnTo>
                    <a:lnTo>
                      <a:pt x="808371" y="0"/>
                    </a:lnTo>
                    <a:close/>
                  </a:path>
                </a:pathLst>
              </a:custGeom>
              <a:gradFill flip="none" rotWithShape="1">
                <a:gsLst>
                  <a:gs pos="0">
                    <a:schemeClr val="bg1">
                      <a:lumMod val="75000"/>
                    </a:schemeClr>
                  </a:gs>
                  <a:gs pos="50000">
                    <a:schemeClr val="bg1">
                      <a:lumMod val="95000"/>
                    </a:schemeClr>
                  </a:gs>
                  <a:gs pos="100000">
                    <a:srgbClr val="E1E8F5"/>
                  </a:gs>
                </a:gsLst>
                <a:lin ang="18900000" scaled="1"/>
                <a:tileRect/>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563" name="Freeform 562">
                <a:extLst>
                  <a:ext uri="{FF2B5EF4-FFF2-40B4-BE49-F238E27FC236}">
                    <a16:creationId xmlns:a16="http://schemas.microsoft.com/office/drawing/2014/main" id="{00000000-0008-0000-1100-000033020000}"/>
                  </a:ext>
                </a:extLst>
              </xdr:cNvPr>
              <xdr:cNvSpPr/>
            </xdr:nvSpPr>
            <xdr:spPr>
              <a:xfrm>
                <a:off x="7077326" y="17164300"/>
                <a:ext cx="937209" cy="566236"/>
              </a:xfrm>
              <a:custGeom>
                <a:avLst/>
                <a:gdLst>
                  <a:gd name="connsiteX0" fmla="*/ 808371 w 933700"/>
                  <a:gd name="connsiteY0" fmla="*/ 0 h 570246"/>
                  <a:gd name="connsiteX1" fmla="*/ 933700 w 933700"/>
                  <a:gd name="connsiteY1" fmla="*/ 68931 h 570246"/>
                  <a:gd name="connsiteX2" fmla="*/ 137862 w 933700"/>
                  <a:gd name="connsiteY2" fmla="*/ 570246 h 570246"/>
                  <a:gd name="connsiteX3" fmla="*/ 0 w 933700"/>
                  <a:gd name="connsiteY3" fmla="*/ 501316 h 570246"/>
                  <a:gd name="connsiteX4" fmla="*/ 808371 w 933700"/>
                  <a:gd name="connsiteY4" fmla="*/ 0 h 57024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33700" h="570246">
                    <a:moveTo>
                      <a:pt x="808371" y="0"/>
                    </a:moveTo>
                    <a:lnTo>
                      <a:pt x="933700" y="68931"/>
                    </a:lnTo>
                    <a:lnTo>
                      <a:pt x="137862" y="570246"/>
                    </a:lnTo>
                    <a:lnTo>
                      <a:pt x="0" y="501316"/>
                    </a:lnTo>
                    <a:lnTo>
                      <a:pt x="808371" y="0"/>
                    </a:lnTo>
                    <a:close/>
                  </a:path>
                </a:pathLst>
              </a:custGeom>
              <a:gradFill flip="none" rotWithShape="1">
                <a:gsLst>
                  <a:gs pos="0">
                    <a:schemeClr val="bg1">
                      <a:lumMod val="75000"/>
                    </a:schemeClr>
                  </a:gs>
                  <a:gs pos="50000">
                    <a:schemeClr val="bg1">
                      <a:lumMod val="95000"/>
                    </a:schemeClr>
                  </a:gs>
                  <a:gs pos="100000">
                    <a:srgbClr val="E1E8F5"/>
                  </a:gs>
                </a:gsLst>
                <a:lin ang="18900000" scaled="1"/>
                <a:tileRect/>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10" name="Freeform 137709">
                <a:extLst>
                  <a:ext uri="{FF2B5EF4-FFF2-40B4-BE49-F238E27FC236}">
                    <a16:creationId xmlns:a16="http://schemas.microsoft.com/office/drawing/2014/main" id="{00000000-0008-0000-1100-0000EE190200}"/>
                  </a:ext>
                </a:extLst>
              </xdr:cNvPr>
              <xdr:cNvSpPr/>
            </xdr:nvSpPr>
            <xdr:spPr>
              <a:xfrm>
                <a:off x="7072712" y="16983904"/>
                <a:ext cx="147475" cy="757160"/>
              </a:xfrm>
              <a:custGeom>
                <a:avLst/>
                <a:gdLst>
                  <a:gd name="connsiteX0" fmla="*/ 10229 w 148091"/>
                  <a:gd name="connsiteY0" fmla="*/ 35200 h 793440"/>
                  <a:gd name="connsiteX1" fmla="*/ 141825 w 148091"/>
                  <a:gd name="connsiteY1" fmla="*/ 104130 h 793440"/>
                  <a:gd name="connsiteX2" fmla="*/ 148091 w 148091"/>
                  <a:gd name="connsiteY2" fmla="*/ 793440 h 793440"/>
                  <a:gd name="connsiteX3" fmla="*/ 10229 w 148091"/>
                  <a:gd name="connsiteY3" fmla="*/ 711976 h 793440"/>
                  <a:gd name="connsiteX4" fmla="*/ 10229 w 148091"/>
                  <a:gd name="connsiteY4" fmla="*/ 35200 h 793440"/>
                  <a:gd name="connsiteX0" fmla="*/ 10705 w 149324"/>
                  <a:gd name="connsiteY0" fmla="*/ 38304 h 796544"/>
                  <a:gd name="connsiteX1" fmla="*/ 148741 w 149324"/>
                  <a:gd name="connsiteY1" fmla="*/ 94227 h 796544"/>
                  <a:gd name="connsiteX2" fmla="*/ 148567 w 149324"/>
                  <a:gd name="connsiteY2" fmla="*/ 796544 h 796544"/>
                  <a:gd name="connsiteX3" fmla="*/ 10705 w 149324"/>
                  <a:gd name="connsiteY3" fmla="*/ 715080 h 796544"/>
                  <a:gd name="connsiteX4" fmla="*/ 10705 w 149324"/>
                  <a:gd name="connsiteY4" fmla="*/ 38304 h 796544"/>
                  <a:gd name="connsiteX0" fmla="*/ 7081 w 165016"/>
                  <a:gd name="connsiteY0" fmla="*/ 31583 h 835348"/>
                  <a:gd name="connsiteX1" fmla="*/ 164433 w 165016"/>
                  <a:gd name="connsiteY1" fmla="*/ 133031 h 835348"/>
                  <a:gd name="connsiteX2" fmla="*/ 164259 w 165016"/>
                  <a:gd name="connsiteY2" fmla="*/ 835348 h 835348"/>
                  <a:gd name="connsiteX3" fmla="*/ 26397 w 165016"/>
                  <a:gd name="connsiteY3" fmla="*/ 753884 h 835348"/>
                  <a:gd name="connsiteX4" fmla="*/ 7081 w 165016"/>
                  <a:gd name="connsiteY4" fmla="*/ 31583 h 835348"/>
                  <a:gd name="connsiteX0" fmla="*/ 7988 w 159483"/>
                  <a:gd name="connsiteY0" fmla="*/ 33257 h 824015"/>
                  <a:gd name="connsiteX1" fmla="*/ 158900 w 159483"/>
                  <a:gd name="connsiteY1" fmla="*/ 121698 h 824015"/>
                  <a:gd name="connsiteX2" fmla="*/ 158726 w 159483"/>
                  <a:gd name="connsiteY2" fmla="*/ 824015 h 824015"/>
                  <a:gd name="connsiteX3" fmla="*/ 20864 w 159483"/>
                  <a:gd name="connsiteY3" fmla="*/ 742551 h 824015"/>
                  <a:gd name="connsiteX4" fmla="*/ 7988 w 159483"/>
                  <a:gd name="connsiteY4" fmla="*/ 33257 h 824015"/>
                  <a:gd name="connsiteX0" fmla="*/ 600 w 152095"/>
                  <a:gd name="connsiteY0" fmla="*/ 30603 h 821361"/>
                  <a:gd name="connsiteX1" fmla="*/ 151512 w 152095"/>
                  <a:gd name="connsiteY1" fmla="*/ 119044 h 821361"/>
                  <a:gd name="connsiteX2" fmla="*/ 151338 w 152095"/>
                  <a:gd name="connsiteY2" fmla="*/ 821361 h 821361"/>
                  <a:gd name="connsiteX3" fmla="*/ 13476 w 152095"/>
                  <a:gd name="connsiteY3" fmla="*/ 739897 h 821361"/>
                  <a:gd name="connsiteX4" fmla="*/ 600 w 152095"/>
                  <a:gd name="connsiteY4" fmla="*/ 30603 h 821361"/>
                  <a:gd name="connsiteX0" fmla="*/ 515 w 152010"/>
                  <a:gd name="connsiteY0" fmla="*/ 30603 h 821361"/>
                  <a:gd name="connsiteX1" fmla="*/ 151427 w 152010"/>
                  <a:gd name="connsiteY1" fmla="*/ 119044 h 821361"/>
                  <a:gd name="connsiteX2" fmla="*/ 151253 w 152010"/>
                  <a:gd name="connsiteY2" fmla="*/ 821361 h 821361"/>
                  <a:gd name="connsiteX3" fmla="*/ 13391 w 152010"/>
                  <a:gd name="connsiteY3" fmla="*/ 739897 h 821361"/>
                  <a:gd name="connsiteX4" fmla="*/ 515 w 152010"/>
                  <a:gd name="connsiteY4" fmla="*/ 30603 h 821361"/>
                  <a:gd name="connsiteX0" fmla="*/ 599 w 152094"/>
                  <a:gd name="connsiteY0" fmla="*/ 27972 h 818730"/>
                  <a:gd name="connsiteX1" fmla="*/ 151511 w 152094"/>
                  <a:gd name="connsiteY1" fmla="*/ 116413 h 818730"/>
                  <a:gd name="connsiteX2" fmla="*/ 151337 w 152094"/>
                  <a:gd name="connsiteY2" fmla="*/ 818730 h 818730"/>
                  <a:gd name="connsiteX3" fmla="*/ 13475 w 152094"/>
                  <a:gd name="connsiteY3" fmla="*/ 737266 h 818730"/>
                  <a:gd name="connsiteX4" fmla="*/ 599 w 152094"/>
                  <a:gd name="connsiteY4" fmla="*/ 27972 h 818730"/>
                  <a:gd name="connsiteX0" fmla="*/ 599 w 152094"/>
                  <a:gd name="connsiteY0" fmla="*/ 25251 h 816009"/>
                  <a:gd name="connsiteX1" fmla="*/ 151511 w 152094"/>
                  <a:gd name="connsiteY1" fmla="*/ 113692 h 816009"/>
                  <a:gd name="connsiteX2" fmla="*/ 151337 w 152094"/>
                  <a:gd name="connsiteY2" fmla="*/ 816009 h 816009"/>
                  <a:gd name="connsiteX3" fmla="*/ 13475 w 152094"/>
                  <a:gd name="connsiteY3" fmla="*/ 734545 h 816009"/>
                  <a:gd name="connsiteX4" fmla="*/ 599 w 152094"/>
                  <a:gd name="connsiteY4" fmla="*/ 25251 h 816009"/>
                  <a:gd name="connsiteX0" fmla="*/ 599 w 152094"/>
                  <a:gd name="connsiteY0" fmla="*/ 25251 h 816009"/>
                  <a:gd name="connsiteX1" fmla="*/ 151511 w 152094"/>
                  <a:gd name="connsiteY1" fmla="*/ 113692 h 816009"/>
                  <a:gd name="connsiteX2" fmla="*/ 151337 w 152094"/>
                  <a:gd name="connsiteY2" fmla="*/ 816009 h 816009"/>
                  <a:gd name="connsiteX3" fmla="*/ 13475 w 152094"/>
                  <a:gd name="connsiteY3" fmla="*/ 734545 h 816009"/>
                  <a:gd name="connsiteX4" fmla="*/ 599 w 152094"/>
                  <a:gd name="connsiteY4" fmla="*/ 25251 h 816009"/>
                  <a:gd name="connsiteX0" fmla="*/ 35 w 151530"/>
                  <a:gd name="connsiteY0" fmla="*/ 7118 h 797876"/>
                  <a:gd name="connsiteX1" fmla="*/ 150947 w 151530"/>
                  <a:gd name="connsiteY1" fmla="*/ 95559 h 797876"/>
                  <a:gd name="connsiteX2" fmla="*/ 150773 w 151530"/>
                  <a:gd name="connsiteY2" fmla="*/ 797876 h 797876"/>
                  <a:gd name="connsiteX3" fmla="*/ 12911 w 151530"/>
                  <a:gd name="connsiteY3" fmla="*/ 716412 h 797876"/>
                  <a:gd name="connsiteX4" fmla="*/ 35 w 151530"/>
                  <a:gd name="connsiteY4" fmla="*/ 7118 h 797876"/>
                  <a:gd name="connsiteX0" fmla="*/ 35 w 151530"/>
                  <a:gd name="connsiteY0" fmla="*/ 260 h 791018"/>
                  <a:gd name="connsiteX1" fmla="*/ 150947 w 151530"/>
                  <a:gd name="connsiteY1" fmla="*/ 88701 h 791018"/>
                  <a:gd name="connsiteX2" fmla="*/ 150773 w 151530"/>
                  <a:gd name="connsiteY2" fmla="*/ 791018 h 791018"/>
                  <a:gd name="connsiteX3" fmla="*/ 12911 w 151530"/>
                  <a:gd name="connsiteY3" fmla="*/ 709554 h 791018"/>
                  <a:gd name="connsiteX4" fmla="*/ 35 w 151530"/>
                  <a:gd name="connsiteY4" fmla="*/ 260 h 79101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51530" h="791018">
                    <a:moveTo>
                      <a:pt x="35" y="260"/>
                    </a:moveTo>
                    <a:cubicBezTo>
                      <a:pt x="-2713" y="-5661"/>
                      <a:pt x="158592" y="91739"/>
                      <a:pt x="150947" y="88701"/>
                    </a:cubicBezTo>
                    <a:cubicBezTo>
                      <a:pt x="153036" y="97349"/>
                      <a:pt x="148684" y="561248"/>
                      <a:pt x="150773" y="791018"/>
                    </a:cubicBezTo>
                    <a:lnTo>
                      <a:pt x="12911" y="709554"/>
                    </a:lnTo>
                    <a:cubicBezTo>
                      <a:pt x="10822" y="479784"/>
                      <a:pt x="2783" y="6181"/>
                      <a:pt x="35" y="260"/>
                    </a:cubicBezTo>
                    <a:close/>
                  </a:path>
                </a:pathLst>
              </a:custGeom>
              <a:gradFill>
                <a:gsLst>
                  <a:gs pos="0">
                    <a:schemeClr val="bg1">
                      <a:lumMod val="75000"/>
                    </a:schemeClr>
                  </a:gs>
                  <a:gs pos="50000">
                    <a:schemeClr val="bg1">
                      <a:lumMod val="95000"/>
                    </a:schemeClr>
                  </a:gs>
                  <a:gs pos="100000">
                    <a:srgbClr val="E1E8F5"/>
                  </a:gs>
                </a:gsLst>
                <a:lin ang="18900000" scaled="1"/>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15" name="Freeform 137714">
                <a:extLst>
                  <a:ext uri="{FF2B5EF4-FFF2-40B4-BE49-F238E27FC236}">
                    <a16:creationId xmlns:a16="http://schemas.microsoft.com/office/drawing/2014/main" id="{00000000-0008-0000-1100-0000F3190200}"/>
                  </a:ext>
                </a:extLst>
              </xdr:cNvPr>
              <xdr:cNvSpPr/>
            </xdr:nvSpPr>
            <xdr:spPr>
              <a:xfrm>
                <a:off x="5152525" y="16981571"/>
                <a:ext cx="999875" cy="853490"/>
              </a:xfrm>
              <a:custGeom>
                <a:avLst/>
                <a:gdLst>
                  <a:gd name="connsiteX0" fmla="*/ 933701 w 933701"/>
                  <a:gd name="connsiteY0" fmla="*/ 0 h 858503"/>
                  <a:gd name="connsiteX1" fmla="*/ 933701 w 933701"/>
                  <a:gd name="connsiteY1" fmla="*/ 307056 h 858503"/>
                  <a:gd name="connsiteX2" fmla="*/ 0 w 933701"/>
                  <a:gd name="connsiteY2" fmla="*/ 858503 h 858503"/>
                  <a:gd name="connsiteX3" fmla="*/ 37599 w 933701"/>
                  <a:gd name="connsiteY3" fmla="*/ 808372 h 858503"/>
                  <a:gd name="connsiteX4" fmla="*/ 37599 w 933701"/>
                  <a:gd name="connsiteY4" fmla="*/ 551447 h 858503"/>
                  <a:gd name="connsiteX5" fmla="*/ 933701 w 933701"/>
                  <a:gd name="connsiteY5" fmla="*/ 0 h 858503"/>
                  <a:gd name="connsiteX0" fmla="*/ 933701 w 1027698"/>
                  <a:gd name="connsiteY0" fmla="*/ 0 h 858503"/>
                  <a:gd name="connsiteX1" fmla="*/ 1027698 w 1027698"/>
                  <a:gd name="connsiteY1" fmla="*/ 250658 h 858503"/>
                  <a:gd name="connsiteX2" fmla="*/ 0 w 1027698"/>
                  <a:gd name="connsiteY2" fmla="*/ 858503 h 858503"/>
                  <a:gd name="connsiteX3" fmla="*/ 37599 w 1027698"/>
                  <a:gd name="connsiteY3" fmla="*/ 808372 h 858503"/>
                  <a:gd name="connsiteX4" fmla="*/ 37599 w 1027698"/>
                  <a:gd name="connsiteY4" fmla="*/ 551447 h 858503"/>
                  <a:gd name="connsiteX5" fmla="*/ 933701 w 1027698"/>
                  <a:gd name="connsiteY5" fmla="*/ 0 h 858503"/>
                  <a:gd name="connsiteX0" fmla="*/ 933701 w 996366"/>
                  <a:gd name="connsiteY0" fmla="*/ 0 h 858503"/>
                  <a:gd name="connsiteX1" fmla="*/ 996366 w 996366"/>
                  <a:gd name="connsiteY1" fmla="*/ 250658 h 858503"/>
                  <a:gd name="connsiteX2" fmla="*/ 0 w 996366"/>
                  <a:gd name="connsiteY2" fmla="*/ 858503 h 858503"/>
                  <a:gd name="connsiteX3" fmla="*/ 37599 w 996366"/>
                  <a:gd name="connsiteY3" fmla="*/ 808372 h 858503"/>
                  <a:gd name="connsiteX4" fmla="*/ 37599 w 996366"/>
                  <a:gd name="connsiteY4" fmla="*/ 551447 h 858503"/>
                  <a:gd name="connsiteX5" fmla="*/ 933701 w 996366"/>
                  <a:gd name="connsiteY5" fmla="*/ 0 h 85850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996366" h="858503">
                    <a:moveTo>
                      <a:pt x="933701" y="0"/>
                    </a:moveTo>
                    <a:lnTo>
                      <a:pt x="996366" y="250658"/>
                    </a:lnTo>
                    <a:lnTo>
                      <a:pt x="0" y="858503"/>
                    </a:lnTo>
                    <a:lnTo>
                      <a:pt x="37599" y="808372"/>
                    </a:lnTo>
                    <a:lnTo>
                      <a:pt x="37599" y="551447"/>
                    </a:lnTo>
                    <a:lnTo>
                      <a:pt x="933701" y="0"/>
                    </a:lnTo>
                    <a:close/>
                  </a:path>
                </a:pathLst>
              </a:custGeom>
              <a:gradFill flip="none" rotWithShape="1">
                <a:gsLst>
                  <a:gs pos="0">
                    <a:srgbClr val="CCFFCC"/>
                  </a:gs>
                  <a:gs pos="50000">
                    <a:srgbClr val="CCFFFF"/>
                  </a:gs>
                  <a:gs pos="100000">
                    <a:srgbClr val="CCFFFF"/>
                  </a:gs>
                </a:gsLst>
                <a:lin ang="18900000" scaled="1"/>
                <a:tileRect/>
              </a:gradFill>
              <a:ln w="3175">
                <a:solidFill>
                  <a:schemeClr val="dk1">
                    <a:shade val="95000"/>
                    <a:satMod val="10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572" name="Freeform 571">
                <a:extLst>
                  <a:ext uri="{FF2B5EF4-FFF2-40B4-BE49-F238E27FC236}">
                    <a16:creationId xmlns:a16="http://schemas.microsoft.com/office/drawing/2014/main" id="{00000000-0008-0000-1100-00003C020000}"/>
                  </a:ext>
                </a:extLst>
              </xdr:cNvPr>
              <xdr:cNvSpPr/>
            </xdr:nvSpPr>
            <xdr:spPr>
              <a:xfrm>
                <a:off x="7799722" y="15339260"/>
                <a:ext cx="928234" cy="857417"/>
              </a:xfrm>
              <a:custGeom>
                <a:avLst/>
                <a:gdLst>
                  <a:gd name="connsiteX0" fmla="*/ 933701 w 933701"/>
                  <a:gd name="connsiteY0" fmla="*/ 0 h 858503"/>
                  <a:gd name="connsiteX1" fmla="*/ 933701 w 933701"/>
                  <a:gd name="connsiteY1" fmla="*/ 307056 h 858503"/>
                  <a:gd name="connsiteX2" fmla="*/ 0 w 933701"/>
                  <a:gd name="connsiteY2" fmla="*/ 858503 h 858503"/>
                  <a:gd name="connsiteX3" fmla="*/ 37599 w 933701"/>
                  <a:gd name="connsiteY3" fmla="*/ 808372 h 858503"/>
                  <a:gd name="connsiteX4" fmla="*/ 37599 w 933701"/>
                  <a:gd name="connsiteY4" fmla="*/ 551447 h 858503"/>
                  <a:gd name="connsiteX5" fmla="*/ 933701 w 933701"/>
                  <a:gd name="connsiteY5" fmla="*/ 0 h 858503"/>
                  <a:gd name="connsiteX0" fmla="*/ 933701 w 1027698"/>
                  <a:gd name="connsiteY0" fmla="*/ 0 h 858503"/>
                  <a:gd name="connsiteX1" fmla="*/ 1027698 w 1027698"/>
                  <a:gd name="connsiteY1" fmla="*/ 250658 h 858503"/>
                  <a:gd name="connsiteX2" fmla="*/ 0 w 1027698"/>
                  <a:gd name="connsiteY2" fmla="*/ 858503 h 858503"/>
                  <a:gd name="connsiteX3" fmla="*/ 37599 w 1027698"/>
                  <a:gd name="connsiteY3" fmla="*/ 808372 h 858503"/>
                  <a:gd name="connsiteX4" fmla="*/ 37599 w 1027698"/>
                  <a:gd name="connsiteY4" fmla="*/ 551447 h 858503"/>
                  <a:gd name="connsiteX5" fmla="*/ 933701 w 1027698"/>
                  <a:gd name="connsiteY5" fmla="*/ 0 h 858503"/>
                  <a:gd name="connsiteX0" fmla="*/ 933701 w 996366"/>
                  <a:gd name="connsiteY0" fmla="*/ 0 h 858503"/>
                  <a:gd name="connsiteX1" fmla="*/ 996366 w 996366"/>
                  <a:gd name="connsiteY1" fmla="*/ 250658 h 858503"/>
                  <a:gd name="connsiteX2" fmla="*/ 0 w 996366"/>
                  <a:gd name="connsiteY2" fmla="*/ 858503 h 858503"/>
                  <a:gd name="connsiteX3" fmla="*/ 37599 w 996366"/>
                  <a:gd name="connsiteY3" fmla="*/ 808372 h 858503"/>
                  <a:gd name="connsiteX4" fmla="*/ 37599 w 996366"/>
                  <a:gd name="connsiteY4" fmla="*/ 551447 h 858503"/>
                  <a:gd name="connsiteX5" fmla="*/ 933701 w 996366"/>
                  <a:gd name="connsiteY5" fmla="*/ 0 h 858503"/>
                  <a:gd name="connsiteX0" fmla="*/ 933701 w 946235"/>
                  <a:gd name="connsiteY0" fmla="*/ 0 h 858503"/>
                  <a:gd name="connsiteX1" fmla="*/ 946235 w 946235"/>
                  <a:gd name="connsiteY1" fmla="*/ 325855 h 858503"/>
                  <a:gd name="connsiteX2" fmla="*/ 0 w 946235"/>
                  <a:gd name="connsiteY2" fmla="*/ 858503 h 858503"/>
                  <a:gd name="connsiteX3" fmla="*/ 37599 w 946235"/>
                  <a:gd name="connsiteY3" fmla="*/ 808372 h 858503"/>
                  <a:gd name="connsiteX4" fmla="*/ 37599 w 946235"/>
                  <a:gd name="connsiteY4" fmla="*/ 551447 h 858503"/>
                  <a:gd name="connsiteX5" fmla="*/ 933701 w 946235"/>
                  <a:gd name="connsiteY5" fmla="*/ 0 h 858503"/>
                  <a:gd name="connsiteX0" fmla="*/ 933701 w 946235"/>
                  <a:gd name="connsiteY0" fmla="*/ 0 h 858503"/>
                  <a:gd name="connsiteX1" fmla="*/ 946235 w 946235"/>
                  <a:gd name="connsiteY1" fmla="*/ 325855 h 858503"/>
                  <a:gd name="connsiteX2" fmla="*/ 0 w 946235"/>
                  <a:gd name="connsiteY2" fmla="*/ 858503 h 858503"/>
                  <a:gd name="connsiteX3" fmla="*/ 37599 w 946235"/>
                  <a:gd name="connsiteY3" fmla="*/ 808372 h 858503"/>
                  <a:gd name="connsiteX4" fmla="*/ 0 w 946235"/>
                  <a:gd name="connsiteY4" fmla="*/ 607845 h 858503"/>
                  <a:gd name="connsiteX5" fmla="*/ 933701 w 946235"/>
                  <a:gd name="connsiteY5" fmla="*/ 0 h 858503"/>
                  <a:gd name="connsiteX0" fmla="*/ 933701 w 946235"/>
                  <a:gd name="connsiteY0" fmla="*/ 0 h 858503"/>
                  <a:gd name="connsiteX1" fmla="*/ 946235 w 946235"/>
                  <a:gd name="connsiteY1" fmla="*/ 325855 h 858503"/>
                  <a:gd name="connsiteX2" fmla="*/ 0 w 946235"/>
                  <a:gd name="connsiteY2" fmla="*/ 858503 h 858503"/>
                  <a:gd name="connsiteX3" fmla="*/ 37599 w 946235"/>
                  <a:gd name="connsiteY3" fmla="*/ 808372 h 858503"/>
                  <a:gd name="connsiteX4" fmla="*/ 0 w 946235"/>
                  <a:gd name="connsiteY4" fmla="*/ 589046 h 858503"/>
                  <a:gd name="connsiteX5" fmla="*/ 933701 w 946235"/>
                  <a:gd name="connsiteY5" fmla="*/ 0 h 858503"/>
                  <a:gd name="connsiteX0" fmla="*/ 933701 w 946235"/>
                  <a:gd name="connsiteY0" fmla="*/ 0 h 858503"/>
                  <a:gd name="connsiteX1" fmla="*/ 946235 w 946235"/>
                  <a:gd name="connsiteY1" fmla="*/ 325855 h 858503"/>
                  <a:gd name="connsiteX2" fmla="*/ 68931 w 946235"/>
                  <a:gd name="connsiteY2" fmla="*/ 858503 h 858503"/>
                  <a:gd name="connsiteX3" fmla="*/ 37599 w 946235"/>
                  <a:gd name="connsiteY3" fmla="*/ 808372 h 858503"/>
                  <a:gd name="connsiteX4" fmla="*/ 0 w 946235"/>
                  <a:gd name="connsiteY4" fmla="*/ 589046 h 858503"/>
                  <a:gd name="connsiteX5" fmla="*/ 933701 w 946235"/>
                  <a:gd name="connsiteY5" fmla="*/ 0 h 858503"/>
                  <a:gd name="connsiteX0" fmla="*/ 933701 w 946235"/>
                  <a:gd name="connsiteY0" fmla="*/ 0 h 883569"/>
                  <a:gd name="connsiteX1" fmla="*/ 946235 w 946235"/>
                  <a:gd name="connsiteY1" fmla="*/ 325855 h 883569"/>
                  <a:gd name="connsiteX2" fmla="*/ 37599 w 946235"/>
                  <a:gd name="connsiteY2" fmla="*/ 883569 h 883569"/>
                  <a:gd name="connsiteX3" fmla="*/ 37599 w 946235"/>
                  <a:gd name="connsiteY3" fmla="*/ 808372 h 883569"/>
                  <a:gd name="connsiteX4" fmla="*/ 0 w 946235"/>
                  <a:gd name="connsiteY4" fmla="*/ 589046 h 883569"/>
                  <a:gd name="connsiteX5" fmla="*/ 933701 w 946235"/>
                  <a:gd name="connsiteY5" fmla="*/ 0 h 883569"/>
                  <a:gd name="connsiteX0" fmla="*/ 933701 w 946235"/>
                  <a:gd name="connsiteY0" fmla="*/ 0 h 883569"/>
                  <a:gd name="connsiteX1" fmla="*/ 946235 w 946235"/>
                  <a:gd name="connsiteY1" fmla="*/ 325855 h 883569"/>
                  <a:gd name="connsiteX2" fmla="*/ 37599 w 946235"/>
                  <a:gd name="connsiteY2" fmla="*/ 883569 h 883569"/>
                  <a:gd name="connsiteX3" fmla="*/ 25066 w 946235"/>
                  <a:gd name="connsiteY3" fmla="*/ 795839 h 883569"/>
                  <a:gd name="connsiteX4" fmla="*/ 0 w 946235"/>
                  <a:gd name="connsiteY4" fmla="*/ 589046 h 883569"/>
                  <a:gd name="connsiteX5" fmla="*/ 933701 w 946235"/>
                  <a:gd name="connsiteY5" fmla="*/ 0 h 8835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946235" h="883569">
                    <a:moveTo>
                      <a:pt x="933701" y="0"/>
                    </a:moveTo>
                    <a:lnTo>
                      <a:pt x="946235" y="325855"/>
                    </a:lnTo>
                    <a:lnTo>
                      <a:pt x="37599" y="883569"/>
                    </a:lnTo>
                    <a:lnTo>
                      <a:pt x="25066" y="795839"/>
                    </a:lnTo>
                    <a:lnTo>
                      <a:pt x="0" y="589046"/>
                    </a:lnTo>
                    <a:lnTo>
                      <a:pt x="933701" y="0"/>
                    </a:lnTo>
                    <a:close/>
                  </a:path>
                </a:pathLst>
              </a:custGeom>
              <a:gradFill flip="none" rotWithShape="1">
                <a:gsLst>
                  <a:gs pos="0">
                    <a:srgbClr val="CCFFCC"/>
                  </a:gs>
                  <a:gs pos="50000">
                    <a:srgbClr val="CCFFFF"/>
                  </a:gs>
                  <a:gs pos="100000">
                    <a:srgbClr val="CCFFFF"/>
                  </a:gs>
                </a:gsLst>
                <a:lin ang="18900000" scaled="1"/>
                <a:tileRect/>
              </a:gradFill>
              <a:ln w="3175">
                <a:solidFill>
                  <a:schemeClr val="dk1">
                    <a:shade val="95000"/>
                    <a:satMod val="10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570" name="Straight Connector 569">
                <a:extLst>
                  <a:ext uri="{FF2B5EF4-FFF2-40B4-BE49-F238E27FC236}">
                    <a16:creationId xmlns:a16="http://schemas.microsoft.com/office/drawing/2014/main" id="{00000000-0008-0000-1100-00003A020000}"/>
                  </a:ext>
                </a:extLst>
              </xdr:cNvPr>
              <xdr:cNvCxnSpPr>
                <a:endCxn id="813286" idx="9"/>
              </xdr:cNvCxnSpPr>
            </xdr:nvCxnSpPr>
            <xdr:spPr>
              <a:xfrm flipH="1">
                <a:off x="5127246" y="17219701"/>
                <a:ext cx="1033430" cy="626889"/>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137714" name="Freeform 137713">
                <a:extLst>
                  <a:ext uri="{FF2B5EF4-FFF2-40B4-BE49-F238E27FC236}">
                    <a16:creationId xmlns:a16="http://schemas.microsoft.com/office/drawing/2014/main" id="{00000000-0008-0000-1100-0000F2190200}"/>
                  </a:ext>
                </a:extLst>
              </xdr:cNvPr>
              <xdr:cNvSpPr/>
            </xdr:nvSpPr>
            <xdr:spPr>
              <a:xfrm>
                <a:off x="6087979" y="16975305"/>
                <a:ext cx="993608" cy="691564"/>
              </a:xfrm>
              <a:custGeom>
                <a:avLst/>
                <a:gdLst>
                  <a:gd name="connsiteX0" fmla="*/ 990098 w 990098"/>
                  <a:gd name="connsiteY0" fmla="*/ 0 h 695575"/>
                  <a:gd name="connsiteX1" fmla="*/ 0 w 990098"/>
                  <a:gd name="connsiteY1" fmla="*/ 12533 h 695575"/>
                  <a:gd name="connsiteX2" fmla="*/ 6266 w 990098"/>
                  <a:gd name="connsiteY2" fmla="*/ 225592 h 695575"/>
                  <a:gd name="connsiteX3" fmla="*/ 990098 w 990098"/>
                  <a:gd name="connsiteY3" fmla="*/ 695575 h 695575"/>
                  <a:gd name="connsiteX4" fmla="*/ 990098 w 990098"/>
                  <a:gd name="connsiteY4" fmla="*/ 0 h 695575"/>
                  <a:gd name="connsiteX0" fmla="*/ 990098 w 990098"/>
                  <a:gd name="connsiteY0" fmla="*/ 0 h 695575"/>
                  <a:gd name="connsiteX1" fmla="*/ 0 w 990098"/>
                  <a:gd name="connsiteY1" fmla="*/ 12533 h 695575"/>
                  <a:gd name="connsiteX2" fmla="*/ 6266 w 990098"/>
                  <a:gd name="connsiteY2" fmla="*/ 200526 h 695575"/>
                  <a:gd name="connsiteX3" fmla="*/ 990098 w 990098"/>
                  <a:gd name="connsiteY3" fmla="*/ 695575 h 695575"/>
                  <a:gd name="connsiteX4" fmla="*/ 990098 w 990098"/>
                  <a:gd name="connsiteY4" fmla="*/ 0 h 695575"/>
                  <a:gd name="connsiteX0" fmla="*/ 990098 w 990098"/>
                  <a:gd name="connsiteY0" fmla="*/ 0 h 695575"/>
                  <a:gd name="connsiteX1" fmla="*/ 0 w 990098"/>
                  <a:gd name="connsiteY1" fmla="*/ 12533 h 695575"/>
                  <a:gd name="connsiteX2" fmla="*/ 6266 w 990098"/>
                  <a:gd name="connsiteY2" fmla="*/ 287083 h 695575"/>
                  <a:gd name="connsiteX3" fmla="*/ 990098 w 990098"/>
                  <a:gd name="connsiteY3" fmla="*/ 695575 h 695575"/>
                  <a:gd name="connsiteX4" fmla="*/ 990098 w 990098"/>
                  <a:gd name="connsiteY4" fmla="*/ 0 h 6955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90098" h="695575">
                    <a:moveTo>
                      <a:pt x="990098" y="0"/>
                    </a:moveTo>
                    <a:lnTo>
                      <a:pt x="0" y="12533"/>
                    </a:lnTo>
                    <a:lnTo>
                      <a:pt x="6266" y="287083"/>
                    </a:lnTo>
                    <a:cubicBezTo>
                      <a:pt x="334210" y="452099"/>
                      <a:pt x="662154" y="530559"/>
                      <a:pt x="990098" y="695575"/>
                    </a:cubicBezTo>
                    <a:cubicBezTo>
                      <a:pt x="988009" y="463717"/>
                      <a:pt x="985921" y="231858"/>
                      <a:pt x="990098" y="0"/>
                    </a:cubicBezTo>
                    <a:close/>
                  </a:path>
                </a:pathLst>
              </a:custGeom>
              <a:gradFill>
                <a:gsLst>
                  <a:gs pos="0">
                    <a:srgbClr val="CCFFCC"/>
                  </a:gs>
                  <a:gs pos="50000">
                    <a:srgbClr val="CCFFFF"/>
                  </a:gs>
                  <a:gs pos="100000">
                    <a:srgbClr val="CCFFFF"/>
                  </a:gs>
                </a:gsLst>
                <a:lin ang="8100000" scaled="1"/>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02" name="Freeform 137701">
                <a:extLst>
                  <a:ext uri="{FF2B5EF4-FFF2-40B4-BE49-F238E27FC236}">
                    <a16:creationId xmlns:a16="http://schemas.microsoft.com/office/drawing/2014/main" id="{00000000-0008-0000-1100-0000E6190200}"/>
                  </a:ext>
                </a:extLst>
              </xdr:cNvPr>
              <xdr:cNvSpPr/>
            </xdr:nvSpPr>
            <xdr:spPr>
              <a:xfrm>
                <a:off x="6102267" y="15934824"/>
                <a:ext cx="1789446" cy="1046748"/>
              </a:xfrm>
              <a:custGeom>
                <a:avLst/>
                <a:gdLst>
                  <a:gd name="connsiteX0" fmla="*/ 1698207 w 1698207"/>
                  <a:gd name="connsiteY0" fmla="*/ 501316 h 990099"/>
                  <a:gd name="connsiteX1" fmla="*/ 1491414 w 1698207"/>
                  <a:gd name="connsiteY1" fmla="*/ 0 h 990099"/>
                  <a:gd name="connsiteX2" fmla="*/ 0 w 1698207"/>
                  <a:gd name="connsiteY2" fmla="*/ 933701 h 990099"/>
                  <a:gd name="connsiteX3" fmla="*/ 889835 w 1698207"/>
                  <a:gd name="connsiteY3" fmla="*/ 990099 h 990099"/>
                  <a:gd name="connsiteX4" fmla="*/ 1698207 w 1698207"/>
                  <a:gd name="connsiteY4" fmla="*/ 501316 h 990099"/>
                  <a:gd name="connsiteX0" fmla="*/ 1879934 w 1879934"/>
                  <a:gd name="connsiteY0" fmla="*/ 501316 h 1040230"/>
                  <a:gd name="connsiteX1" fmla="*/ 1673141 w 1879934"/>
                  <a:gd name="connsiteY1" fmla="*/ 0 h 1040230"/>
                  <a:gd name="connsiteX2" fmla="*/ 0 w 1879934"/>
                  <a:gd name="connsiteY2" fmla="*/ 1040230 h 1040230"/>
                  <a:gd name="connsiteX3" fmla="*/ 1071562 w 1879934"/>
                  <a:gd name="connsiteY3" fmla="*/ 990099 h 1040230"/>
                  <a:gd name="connsiteX4" fmla="*/ 1879934 w 1879934"/>
                  <a:gd name="connsiteY4" fmla="*/ 501316 h 1040230"/>
                  <a:gd name="connsiteX0" fmla="*/ 1879934 w 1879934"/>
                  <a:gd name="connsiteY0" fmla="*/ 582780 h 1121694"/>
                  <a:gd name="connsiteX1" fmla="*/ 1811003 w 1879934"/>
                  <a:gd name="connsiteY1" fmla="*/ 0 h 1121694"/>
                  <a:gd name="connsiteX2" fmla="*/ 0 w 1879934"/>
                  <a:gd name="connsiteY2" fmla="*/ 1121694 h 1121694"/>
                  <a:gd name="connsiteX3" fmla="*/ 1071562 w 1879934"/>
                  <a:gd name="connsiteY3" fmla="*/ 1071563 h 1121694"/>
                  <a:gd name="connsiteX4" fmla="*/ 1879934 w 1879934"/>
                  <a:gd name="connsiteY4" fmla="*/ 582780 h 1121694"/>
                  <a:gd name="connsiteX0" fmla="*/ 1879934 w 1879934"/>
                  <a:gd name="connsiteY0" fmla="*/ 557715 h 1096629"/>
                  <a:gd name="connsiteX1" fmla="*/ 1779671 w 1879934"/>
                  <a:gd name="connsiteY1" fmla="*/ 0 h 1096629"/>
                  <a:gd name="connsiteX2" fmla="*/ 0 w 1879934"/>
                  <a:gd name="connsiteY2" fmla="*/ 1096629 h 1096629"/>
                  <a:gd name="connsiteX3" fmla="*/ 1071562 w 1879934"/>
                  <a:gd name="connsiteY3" fmla="*/ 1046498 h 1096629"/>
                  <a:gd name="connsiteX4" fmla="*/ 1879934 w 1879934"/>
                  <a:gd name="connsiteY4" fmla="*/ 557715 h 1096629"/>
                  <a:gd name="connsiteX0" fmla="*/ 1785937 w 1785937"/>
                  <a:gd name="connsiteY0" fmla="*/ 557715 h 1052764"/>
                  <a:gd name="connsiteX1" fmla="*/ 1685674 w 1785937"/>
                  <a:gd name="connsiteY1" fmla="*/ 0 h 1052764"/>
                  <a:gd name="connsiteX2" fmla="*/ 0 w 1785937"/>
                  <a:gd name="connsiteY2" fmla="*/ 1052764 h 1052764"/>
                  <a:gd name="connsiteX3" fmla="*/ 977565 w 1785937"/>
                  <a:gd name="connsiteY3" fmla="*/ 1046498 h 1052764"/>
                  <a:gd name="connsiteX4" fmla="*/ 1785937 w 1785937"/>
                  <a:gd name="connsiteY4" fmla="*/ 557715 h 10527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85937" h="1052764">
                    <a:moveTo>
                      <a:pt x="1785937" y="557715"/>
                    </a:moveTo>
                    <a:lnTo>
                      <a:pt x="1685674" y="0"/>
                    </a:lnTo>
                    <a:lnTo>
                      <a:pt x="0" y="1052764"/>
                    </a:lnTo>
                    <a:lnTo>
                      <a:pt x="977565" y="1046498"/>
                    </a:lnTo>
                    <a:lnTo>
                      <a:pt x="1785937" y="557715"/>
                    </a:lnTo>
                    <a:close/>
                  </a:path>
                </a:pathLst>
              </a:custGeom>
              <a:gradFill>
                <a:gsLst>
                  <a:gs pos="0">
                    <a:schemeClr val="bg1">
                      <a:lumMod val="75000"/>
                    </a:schemeClr>
                  </a:gs>
                  <a:gs pos="50000">
                    <a:schemeClr val="bg1">
                      <a:lumMod val="95000"/>
                    </a:schemeClr>
                  </a:gs>
                  <a:gs pos="100000">
                    <a:srgbClr val="E1E8F5"/>
                  </a:gs>
                </a:gsLst>
                <a:lin ang="12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574" name="Straight Connector 573">
                <a:extLst>
                  <a:ext uri="{FF2B5EF4-FFF2-40B4-BE49-F238E27FC236}">
                    <a16:creationId xmlns:a16="http://schemas.microsoft.com/office/drawing/2014/main" id="{00000000-0008-0000-1100-00003E020000}"/>
                  </a:ext>
                </a:extLst>
              </xdr:cNvPr>
              <xdr:cNvCxnSpPr>
                <a:stCxn id="137719" idx="10"/>
              </xdr:cNvCxnSpPr>
            </xdr:nvCxnSpPr>
            <xdr:spPr>
              <a:xfrm flipH="1">
                <a:off x="7843595" y="15703900"/>
                <a:ext cx="819912" cy="501383"/>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137719" name="Freeform 137718">
                <a:extLst>
                  <a:ext uri="{FF2B5EF4-FFF2-40B4-BE49-F238E27FC236}">
                    <a16:creationId xmlns:a16="http://schemas.microsoft.com/office/drawing/2014/main" id="{00000000-0008-0000-1100-0000F7190200}"/>
                  </a:ext>
                </a:extLst>
              </xdr:cNvPr>
              <xdr:cNvSpPr/>
            </xdr:nvSpPr>
            <xdr:spPr>
              <a:xfrm>
                <a:off x="8571997" y="15169064"/>
                <a:ext cx="161149" cy="534979"/>
              </a:xfrm>
              <a:custGeom>
                <a:avLst/>
                <a:gdLst>
                  <a:gd name="connsiteX0" fmla="*/ 0 w 162928"/>
                  <a:gd name="connsiteY0" fmla="*/ 0 h 532648"/>
                  <a:gd name="connsiteX1" fmla="*/ 62665 w 162928"/>
                  <a:gd name="connsiteY1" fmla="*/ 50131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37862 w 162928"/>
                  <a:gd name="connsiteY7" fmla="*/ 495049 h 532648"/>
                  <a:gd name="connsiteX8" fmla="*/ 131596 w 162928"/>
                  <a:gd name="connsiteY8" fmla="*/ 532648 h 532648"/>
                  <a:gd name="connsiteX9" fmla="*/ 131596 w 162928"/>
                  <a:gd name="connsiteY9" fmla="*/ 532648 h 532648"/>
                  <a:gd name="connsiteX0" fmla="*/ 0 w 162928"/>
                  <a:gd name="connsiteY0" fmla="*/ 0 h 532648"/>
                  <a:gd name="connsiteX1" fmla="*/ 62665 w 162928"/>
                  <a:gd name="connsiteY1" fmla="*/ 50131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513849 h 532648"/>
                  <a:gd name="connsiteX8" fmla="*/ 131596 w 162928"/>
                  <a:gd name="connsiteY8" fmla="*/ 532648 h 532648"/>
                  <a:gd name="connsiteX9" fmla="*/ 131596 w 162928"/>
                  <a:gd name="connsiteY9" fmla="*/ 532648 h 532648"/>
                  <a:gd name="connsiteX0" fmla="*/ 0 w 162928"/>
                  <a:gd name="connsiteY0" fmla="*/ 0 h 532648"/>
                  <a:gd name="connsiteX1" fmla="*/ 62665 w 162928"/>
                  <a:gd name="connsiteY1" fmla="*/ 50131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2928"/>
                  <a:gd name="connsiteY0" fmla="*/ 0 h 532648"/>
                  <a:gd name="connsiteX1" fmla="*/ 67427 w 162928"/>
                  <a:gd name="connsiteY1" fmla="*/ 40552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2928"/>
                  <a:gd name="connsiteY0" fmla="*/ 0 h 532648"/>
                  <a:gd name="connsiteX1" fmla="*/ 67427 w 162928"/>
                  <a:gd name="connsiteY1" fmla="*/ 40552 h 532648"/>
                  <a:gd name="connsiteX2" fmla="*/ 109538 w 162928"/>
                  <a:gd name="connsiteY2" fmla="*/ 88290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2928"/>
                  <a:gd name="connsiteY0" fmla="*/ 0 h 532648"/>
                  <a:gd name="connsiteX1" fmla="*/ 67427 w 162928"/>
                  <a:gd name="connsiteY1" fmla="*/ 40552 h 532648"/>
                  <a:gd name="connsiteX2" fmla="*/ 109538 w 162928"/>
                  <a:gd name="connsiteY2" fmla="*/ 88290 h 532648"/>
                  <a:gd name="connsiteX3" fmla="*/ 141121 w 162928"/>
                  <a:gd name="connsiteY3" fmla="*/ 134908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6186"/>
                  <a:gd name="connsiteY0" fmla="*/ 0 h 532648"/>
                  <a:gd name="connsiteX1" fmla="*/ 67427 w 166186"/>
                  <a:gd name="connsiteY1" fmla="*/ 40552 h 532648"/>
                  <a:gd name="connsiteX2" fmla="*/ 109538 w 166186"/>
                  <a:gd name="connsiteY2" fmla="*/ 88290 h 532648"/>
                  <a:gd name="connsiteX3" fmla="*/ 141121 w 166186"/>
                  <a:gd name="connsiteY3" fmla="*/ 134908 h 532648"/>
                  <a:gd name="connsiteX4" fmla="*/ 156661 w 166186"/>
                  <a:gd name="connsiteY4" fmla="*/ 181727 h 532648"/>
                  <a:gd name="connsiteX5" fmla="*/ 162928 w 166186"/>
                  <a:gd name="connsiteY5" fmla="*/ 432385 h 532648"/>
                  <a:gd name="connsiteX6" fmla="*/ 166186 w 166186"/>
                  <a:gd name="connsiteY6" fmla="*/ 470901 h 532648"/>
                  <a:gd name="connsiteX7" fmla="*/ 162927 w 166186"/>
                  <a:gd name="connsiteY7" fmla="*/ 488783 h 532648"/>
                  <a:gd name="connsiteX8" fmla="*/ 131596 w 166186"/>
                  <a:gd name="connsiteY8" fmla="*/ 532648 h 532648"/>
                  <a:gd name="connsiteX9" fmla="*/ 131596 w 166186"/>
                  <a:gd name="connsiteY9" fmla="*/ 532648 h 532648"/>
                  <a:gd name="connsiteX0" fmla="*/ 0 w 166186"/>
                  <a:gd name="connsiteY0" fmla="*/ 0 h 532648"/>
                  <a:gd name="connsiteX1" fmla="*/ 67427 w 166186"/>
                  <a:gd name="connsiteY1" fmla="*/ 40552 h 532648"/>
                  <a:gd name="connsiteX2" fmla="*/ 109538 w 166186"/>
                  <a:gd name="connsiteY2" fmla="*/ 88290 h 532648"/>
                  <a:gd name="connsiteX3" fmla="*/ 141121 w 166186"/>
                  <a:gd name="connsiteY3" fmla="*/ 134908 h 532648"/>
                  <a:gd name="connsiteX4" fmla="*/ 156661 w 166186"/>
                  <a:gd name="connsiteY4" fmla="*/ 181727 h 532648"/>
                  <a:gd name="connsiteX5" fmla="*/ 162928 w 166186"/>
                  <a:gd name="connsiteY5" fmla="*/ 432385 h 532648"/>
                  <a:gd name="connsiteX6" fmla="*/ 166186 w 166186"/>
                  <a:gd name="connsiteY6" fmla="*/ 470901 h 532648"/>
                  <a:gd name="connsiteX7" fmla="*/ 160546 w 166186"/>
                  <a:gd name="connsiteY7" fmla="*/ 503152 h 532648"/>
                  <a:gd name="connsiteX8" fmla="*/ 131596 w 166186"/>
                  <a:gd name="connsiteY8" fmla="*/ 532648 h 532648"/>
                  <a:gd name="connsiteX9" fmla="*/ 131596 w 166186"/>
                  <a:gd name="connsiteY9" fmla="*/ 532648 h 532648"/>
                  <a:gd name="connsiteX0" fmla="*/ 0 w 166186"/>
                  <a:gd name="connsiteY0" fmla="*/ 0 h 533889"/>
                  <a:gd name="connsiteX1" fmla="*/ 67427 w 166186"/>
                  <a:gd name="connsiteY1" fmla="*/ 40552 h 533889"/>
                  <a:gd name="connsiteX2" fmla="*/ 109538 w 166186"/>
                  <a:gd name="connsiteY2" fmla="*/ 88290 h 533889"/>
                  <a:gd name="connsiteX3" fmla="*/ 141121 w 166186"/>
                  <a:gd name="connsiteY3" fmla="*/ 134908 h 533889"/>
                  <a:gd name="connsiteX4" fmla="*/ 156661 w 166186"/>
                  <a:gd name="connsiteY4" fmla="*/ 181727 h 533889"/>
                  <a:gd name="connsiteX5" fmla="*/ 162928 w 166186"/>
                  <a:gd name="connsiteY5" fmla="*/ 432385 h 533889"/>
                  <a:gd name="connsiteX6" fmla="*/ 166186 w 166186"/>
                  <a:gd name="connsiteY6" fmla="*/ 470901 h 533889"/>
                  <a:gd name="connsiteX7" fmla="*/ 160546 w 166186"/>
                  <a:gd name="connsiteY7" fmla="*/ 503152 h 533889"/>
                  <a:gd name="connsiteX8" fmla="*/ 131596 w 166186"/>
                  <a:gd name="connsiteY8" fmla="*/ 532648 h 533889"/>
                  <a:gd name="connsiteX9" fmla="*/ 122071 w 166186"/>
                  <a:gd name="connsiteY9" fmla="*/ 527858 h 533889"/>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62928 w 166186"/>
                  <a:gd name="connsiteY5" fmla="*/ 432385 h 533577"/>
                  <a:gd name="connsiteX6" fmla="*/ 166186 w 166186"/>
                  <a:gd name="connsiteY6" fmla="*/ 470901 h 533577"/>
                  <a:gd name="connsiteX7" fmla="*/ 153402 w 166186"/>
                  <a:gd name="connsiteY7" fmla="*/ 507942 h 533577"/>
                  <a:gd name="connsiteX8" fmla="*/ 131596 w 166186"/>
                  <a:gd name="connsiteY8" fmla="*/ 532648 h 533577"/>
                  <a:gd name="connsiteX9" fmla="*/ 122071 w 166186"/>
                  <a:gd name="connsiteY9" fmla="*/ 527858 h 533577"/>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62928 w 166186"/>
                  <a:gd name="connsiteY5" fmla="*/ 401675 h 533577"/>
                  <a:gd name="connsiteX6" fmla="*/ 166186 w 166186"/>
                  <a:gd name="connsiteY6" fmla="*/ 470901 h 533577"/>
                  <a:gd name="connsiteX7" fmla="*/ 153402 w 166186"/>
                  <a:gd name="connsiteY7" fmla="*/ 507942 h 533577"/>
                  <a:gd name="connsiteX8" fmla="*/ 131596 w 166186"/>
                  <a:gd name="connsiteY8" fmla="*/ 532648 h 533577"/>
                  <a:gd name="connsiteX9" fmla="*/ 122071 w 166186"/>
                  <a:gd name="connsiteY9" fmla="*/ 527858 h 533577"/>
                  <a:gd name="connsiteX0" fmla="*/ 0 w 168022"/>
                  <a:gd name="connsiteY0" fmla="*/ 0 h 533577"/>
                  <a:gd name="connsiteX1" fmla="*/ 67427 w 168022"/>
                  <a:gd name="connsiteY1" fmla="*/ 40552 h 533577"/>
                  <a:gd name="connsiteX2" fmla="*/ 109538 w 168022"/>
                  <a:gd name="connsiteY2" fmla="*/ 88290 h 533577"/>
                  <a:gd name="connsiteX3" fmla="*/ 141121 w 168022"/>
                  <a:gd name="connsiteY3" fmla="*/ 134908 h 533577"/>
                  <a:gd name="connsiteX4" fmla="*/ 156661 w 168022"/>
                  <a:gd name="connsiteY4" fmla="*/ 181727 h 533577"/>
                  <a:gd name="connsiteX5" fmla="*/ 168022 w 168022"/>
                  <a:gd name="connsiteY5" fmla="*/ 386252 h 533577"/>
                  <a:gd name="connsiteX6" fmla="*/ 166186 w 168022"/>
                  <a:gd name="connsiteY6" fmla="*/ 470901 h 533577"/>
                  <a:gd name="connsiteX7" fmla="*/ 153402 w 168022"/>
                  <a:gd name="connsiteY7" fmla="*/ 507942 h 533577"/>
                  <a:gd name="connsiteX8" fmla="*/ 131596 w 168022"/>
                  <a:gd name="connsiteY8" fmla="*/ 532648 h 533577"/>
                  <a:gd name="connsiteX9" fmla="*/ 122071 w 168022"/>
                  <a:gd name="connsiteY9" fmla="*/ 527858 h 533577"/>
                  <a:gd name="connsiteX0" fmla="*/ 0 w 168022"/>
                  <a:gd name="connsiteY0" fmla="*/ 0 h 533577"/>
                  <a:gd name="connsiteX1" fmla="*/ 67427 w 168022"/>
                  <a:gd name="connsiteY1" fmla="*/ 40552 h 533577"/>
                  <a:gd name="connsiteX2" fmla="*/ 109538 w 168022"/>
                  <a:gd name="connsiteY2" fmla="*/ 88290 h 533577"/>
                  <a:gd name="connsiteX3" fmla="*/ 141121 w 168022"/>
                  <a:gd name="connsiteY3" fmla="*/ 134908 h 533577"/>
                  <a:gd name="connsiteX4" fmla="*/ 156661 w 168022"/>
                  <a:gd name="connsiteY4" fmla="*/ 181727 h 533577"/>
                  <a:gd name="connsiteX5" fmla="*/ 168022 w 168022"/>
                  <a:gd name="connsiteY5" fmla="*/ 386252 h 533577"/>
                  <a:gd name="connsiteX6" fmla="*/ 166186 w 168022"/>
                  <a:gd name="connsiteY6" fmla="*/ 445269 h 533577"/>
                  <a:gd name="connsiteX7" fmla="*/ 153402 w 168022"/>
                  <a:gd name="connsiteY7" fmla="*/ 507942 h 533577"/>
                  <a:gd name="connsiteX8" fmla="*/ 131596 w 168022"/>
                  <a:gd name="connsiteY8" fmla="*/ 532648 h 533577"/>
                  <a:gd name="connsiteX9" fmla="*/ 122071 w 168022"/>
                  <a:gd name="connsiteY9" fmla="*/ 527858 h 533577"/>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52741 w 166186"/>
                  <a:gd name="connsiteY5" fmla="*/ 391202 h 533577"/>
                  <a:gd name="connsiteX6" fmla="*/ 166186 w 166186"/>
                  <a:gd name="connsiteY6" fmla="*/ 445269 h 533577"/>
                  <a:gd name="connsiteX7" fmla="*/ 153402 w 166186"/>
                  <a:gd name="connsiteY7" fmla="*/ 507942 h 533577"/>
                  <a:gd name="connsiteX8" fmla="*/ 131596 w 166186"/>
                  <a:gd name="connsiteY8" fmla="*/ 532648 h 533577"/>
                  <a:gd name="connsiteX9" fmla="*/ 122071 w 166186"/>
                  <a:gd name="connsiteY9" fmla="*/ 527858 h 533577"/>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61052 w 166186"/>
                  <a:gd name="connsiteY5" fmla="*/ 351362 h 533577"/>
                  <a:gd name="connsiteX6" fmla="*/ 152741 w 166186"/>
                  <a:gd name="connsiteY6" fmla="*/ 391202 h 533577"/>
                  <a:gd name="connsiteX7" fmla="*/ 166186 w 166186"/>
                  <a:gd name="connsiteY7" fmla="*/ 445269 h 533577"/>
                  <a:gd name="connsiteX8" fmla="*/ 153402 w 166186"/>
                  <a:gd name="connsiteY8" fmla="*/ 507942 h 533577"/>
                  <a:gd name="connsiteX9" fmla="*/ 131596 w 166186"/>
                  <a:gd name="connsiteY9" fmla="*/ 532648 h 533577"/>
                  <a:gd name="connsiteX10" fmla="*/ 122071 w 166186"/>
                  <a:gd name="connsiteY10" fmla="*/ 527858 h 533577"/>
                  <a:gd name="connsiteX0" fmla="*/ 0 w 166186"/>
                  <a:gd name="connsiteY0" fmla="*/ 0 h 533589"/>
                  <a:gd name="connsiteX1" fmla="*/ 67427 w 166186"/>
                  <a:gd name="connsiteY1" fmla="*/ 40552 h 533589"/>
                  <a:gd name="connsiteX2" fmla="*/ 109538 w 166186"/>
                  <a:gd name="connsiteY2" fmla="*/ 88290 h 533589"/>
                  <a:gd name="connsiteX3" fmla="*/ 141121 w 166186"/>
                  <a:gd name="connsiteY3" fmla="*/ 134908 h 533589"/>
                  <a:gd name="connsiteX4" fmla="*/ 156661 w 166186"/>
                  <a:gd name="connsiteY4" fmla="*/ 181727 h 533589"/>
                  <a:gd name="connsiteX5" fmla="*/ 161052 w 166186"/>
                  <a:gd name="connsiteY5" fmla="*/ 351362 h 533589"/>
                  <a:gd name="connsiteX6" fmla="*/ 152741 w 166186"/>
                  <a:gd name="connsiteY6" fmla="*/ 391202 h 533589"/>
                  <a:gd name="connsiteX7" fmla="*/ 166186 w 166186"/>
                  <a:gd name="connsiteY7" fmla="*/ 445269 h 533589"/>
                  <a:gd name="connsiteX8" fmla="*/ 138121 w 166186"/>
                  <a:gd name="connsiteY8" fmla="*/ 507755 h 533589"/>
                  <a:gd name="connsiteX9" fmla="*/ 131596 w 166186"/>
                  <a:gd name="connsiteY9" fmla="*/ 532648 h 533589"/>
                  <a:gd name="connsiteX10" fmla="*/ 122071 w 166186"/>
                  <a:gd name="connsiteY10" fmla="*/ 527858 h 533589"/>
                  <a:gd name="connsiteX0" fmla="*/ 0 w 166186"/>
                  <a:gd name="connsiteY0" fmla="*/ 0 h 538415"/>
                  <a:gd name="connsiteX1" fmla="*/ 67427 w 166186"/>
                  <a:gd name="connsiteY1" fmla="*/ 40552 h 538415"/>
                  <a:gd name="connsiteX2" fmla="*/ 109538 w 166186"/>
                  <a:gd name="connsiteY2" fmla="*/ 88290 h 538415"/>
                  <a:gd name="connsiteX3" fmla="*/ 141121 w 166186"/>
                  <a:gd name="connsiteY3" fmla="*/ 134908 h 538415"/>
                  <a:gd name="connsiteX4" fmla="*/ 156661 w 166186"/>
                  <a:gd name="connsiteY4" fmla="*/ 181727 h 538415"/>
                  <a:gd name="connsiteX5" fmla="*/ 161052 w 166186"/>
                  <a:gd name="connsiteY5" fmla="*/ 351362 h 538415"/>
                  <a:gd name="connsiteX6" fmla="*/ 152741 w 166186"/>
                  <a:gd name="connsiteY6" fmla="*/ 391202 h 538415"/>
                  <a:gd name="connsiteX7" fmla="*/ 166186 w 166186"/>
                  <a:gd name="connsiteY7" fmla="*/ 445269 h 538415"/>
                  <a:gd name="connsiteX8" fmla="*/ 138121 w 166186"/>
                  <a:gd name="connsiteY8" fmla="*/ 507755 h 538415"/>
                  <a:gd name="connsiteX9" fmla="*/ 131596 w 166186"/>
                  <a:gd name="connsiteY9" fmla="*/ 532648 h 538415"/>
                  <a:gd name="connsiteX10" fmla="*/ 91510 w 166186"/>
                  <a:gd name="connsiteY10" fmla="*/ 537847 h 538415"/>
                  <a:gd name="connsiteX0" fmla="*/ 0 w 161133"/>
                  <a:gd name="connsiteY0" fmla="*/ 0 h 538415"/>
                  <a:gd name="connsiteX1" fmla="*/ 67427 w 161133"/>
                  <a:gd name="connsiteY1" fmla="*/ 40552 h 538415"/>
                  <a:gd name="connsiteX2" fmla="*/ 109538 w 161133"/>
                  <a:gd name="connsiteY2" fmla="*/ 88290 h 538415"/>
                  <a:gd name="connsiteX3" fmla="*/ 141121 w 161133"/>
                  <a:gd name="connsiteY3" fmla="*/ 134908 h 538415"/>
                  <a:gd name="connsiteX4" fmla="*/ 156661 w 161133"/>
                  <a:gd name="connsiteY4" fmla="*/ 181727 h 538415"/>
                  <a:gd name="connsiteX5" fmla="*/ 161052 w 161133"/>
                  <a:gd name="connsiteY5" fmla="*/ 351362 h 538415"/>
                  <a:gd name="connsiteX6" fmla="*/ 152741 w 161133"/>
                  <a:gd name="connsiteY6" fmla="*/ 391202 h 538415"/>
                  <a:gd name="connsiteX7" fmla="*/ 145812 w 161133"/>
                  <a:gd name="connsiteY7" fmla="*/ 445105 h 538415"/>
                  <a:gd name="connsiteX8" fmla="*/ 138121 w 161133"/>
                  <a:gd name="connsiteY8" fmla="*/ 507755 h 538415"/>
                  <a:gd name="connsiteX9" fmla="*/ 131596 w 161133"/>
                  <a:gd name="connsiteY9" fmla="*/ 532648 h 538415"/>
                  <a:gd name="connsiteX10" fmla="*/ 91510 w 161133"/>
                  <a:gd name="connsiteY10" fmla="*/ 537847 h 538415"/>
                  <a:gd name="connsiteX0" fmla="*/ 0 w 161133"/>
                  <a:gd name="connsiteY0" fmla="*/ 0 h 538415"/>
                  <a:gd name="connsiteX1" fmla="*/ 67427 w 161133"/>
                  <a:gd name="connsiteY1" fmla="*/ 40552 h 538415"/>
                  <a:gd name="connsiteX2" fmla="*/ 109538 w 161133"/>
                  <a:gd name="connsiteY2" fmla="*/ 88290 h 538415"/>
                  <a:gd name="connsiteX3" fmla="*/ 141121 w 161133"/>
                  <a:gd name="connsiteY3" fmla="*/ 134908 h 538415"/>
                  <a:gd name="connsiteX4" fmla="*/ 156661 w 161133"/>
                  <a:gd name="connsiteY4" fmla="*/ 181727 h 538415"/>
                  <a:gd name="connsiteX5" fmla="*/ 161052 w 161133"/>
                  <a:gd name="connsiteY5" fmla="*/ 351362 h 538415"/>
                  <a:gd name="connsiteX6" fmla="*/ 152741 w 161133"/>
                  <a:gd name="connsiteY6" fmla="*/ 391202 h 538415"/>
                  <a:gd name="connsiteX7" fmla="*/ 161092 w 161133"/>
                  <a:gd name="connsiteY7" fmla="*/ 465308 h 538415"/>
                  <a:gd name="connsiteX8" fmla="*/ 138121 w 161133"/>
                  <a:gd name="connsiteY8" fmla="*/ 507755 h 538415"/>
                  <a:gd name="connsiteX9" fmla="*/ 131596 w 161133"/>
                  <a:gd name="connsiteY9" fmla="*/ 532648 h 538415"/>
                  <a:gd name="connsiteX10" fmla="*/ 91510 w 161133"/>
                  <a:gd name="connsiteY10" fmla="*/ 537847 h 538415"/>
                  <a:gd name="connsiteX0" fmla="*/ 0 w 166186"/>
                  <a:gd name="connsiteY0" fmla="*/ 0 h 538415"/>
                  <a:gd name="connsiteX1" fmla="*/ 67427 w 166186"/>
                  <a:gd name="connsiteY1" fmla="*/ 40552 h 538415"/>
                  <a:gd name="connsiteX2" fmla="*/ 109538 w 166186"/>
                  <a:gd name="connsiteY2" fmla="*/ 88290 h 538415"/>
                  <a:gd name="connsiteX3" fmla="*/ 141121 w 166186"/>
                  <a:gd name="connsiteY3" fmla="*/ 134908 h 538415"/>
                  <a:gd name="connsiteX4" fmla="*/ 156661 w 166186"/>
                  <a:gd name="connsiteY4" fmla="*/ 181727 h 538415"/>
                  <a:gd name="connsiteX5" fmla="*/ 161052 w 166186"/>
                  <a:gd name="connsiteY5" fmla="*/ 351362 h 538415"/>
                  <a:gd name="connsiteX6" fmla="*/ 152741 w 166186"/>
                  <a:gd name="connsiteY6" fmla="*/ 391202 h 538415"/>
                  <a:gd name="connsiteX7" fmla="*/ 166186 w 166186"/>
                  <a:gd name="connsiteY7" fmla="*/ 434586 h 538415"/>
                  <a:gd name="connsiteX8" fmla="*/ 138121 w 166186"/>
                  <a:gd name="connsiteY8" fmla="*/ 507755 h 538415"/>
                  <a:gd name="connsiteX9" fmla="*/ 131596 w 166186"/>
                  <a:gd name="connsiteY9" fmla="*/ 532648 h 538415"/>
                  <a:gd name="connsiteX10" fmla="*/ 91510 w 166186"/>
                  <a:gd name="connsiteY10" fmla="*/ 537847 h 538415"/>
                  <a:gd name="connsiteX0" fmla="*/ 0 w 168021"/>
                  <a:gd name="connsiteY0" fmla="*/ 0 h 538415"/>
                  <a:gd name="connsiteX1" fmla="*/ 67427 w 168021"/>
                  <a:gd name="connsiteY1" fmla="*/ 40552 h 538415"/>
                  <a:gd name="connsiteX2" fmla="*/ 109538 w 168021"/>
                  <a:gd name="connsiteY2" fmla="*/ 88290 h 538415"/>
                  <a:gd name="connsiteX3" fmla="*/ 141121 w 168021"/>
                  <a:gd name="connsiteY3" fmla="*/ 134908 h 538415"/>
                  <a:gd name="connsiteX4" fmla="*/ 156661 w 168021"/>
                  <a:gd name="connsiteY4" fmla="*/ 181727 h 538415"/>
                  <a:gd name="connsiteX5" fmla="*/ 161052 w 168021"/>
                  <a:gd name="connsiteY5" fmla="*/ 351362 h 538415"/>
                  <a:gd name="connsiteX6" fmla="*/ 168021 w 168021"/>
                  <a:gd name="connsiteY6" fmla="*/ 391058 h 538415"/>
                  <a:gd name="connsiteX7" fmla="*/ 166186 w 168021"/>
                  <a:gd name="connsiteY7" fmla="*/ 434586 h 538415"/>
                  <a:gd name="connsiteX8" fmla="*/ 138121 w 168021"/>
                  <a:gd name="connsiteY8" fmla="*/ 507755 h 538415"/>
                  <a:gd name="connsiteX9" fmla="*/ 131596 w 168021"/>
                  <a:gd name="connsiteY9" fmla="*/ 532648 h 538415"/>
                  <a:gd name="connsiteX10" fmla="*/ 91510 w 168021"/>
                  <a:gd name="connsiteY10" fmla="*/ 537847 h 538415"/>
                  <a:gd name="connsiteX0" fmla="*/ 0 w 168021"/>
                  <a:gd name="connsiteY0" fmla="*/ 0 h 537990"/>
                  <a:gd name="connsiteX1" fmla="*/ 67427 w 168021"/>
                  <a:gd name="connsiteY1" fmla="*/ 40552 h 537990"/>
                  <a:gd name="connsiteX2" fmla="*/ 109538 w 168021"/>
                  <a:gd name="connsiteY2" fmla="*/ 88290 h 537990"/>
                  <a:gd name="connsiteX3" fmla="*/ 141121 w 168021"/>
                  <a:gd name="connsiteY3" fmla="*/ 134908 h 537990"/>
                  <a:gd name="connsiteX4" fmla="*/ 156661 w 168021"/>
                  <a:gd name="connsiteY4" fmla="*/ 181727 h 537990"/>
                  <a:gd name="connsiteX5" fmla="*/ 161052 w 168021"/>
                  <a:gd name="connsiteY5" fmla="*/ 351362 h 537990"/>
                  <a:gd name="connsiteX6" fmla="*/ 168021 w 168021"/>
                  <a:gd name="connsiteY6" fmla="*/ 391058 h 537990"/>
                  <a:gd name="connsiteX7" fmla="*/ 166186 w 168021"/>
                  <a:gd name="connsiteY7" fmla="*/ 434586 h 537990"/>
                  <a:gd name="connsiteX8" fmla="*/ 138121 w 168021"/>
                  <a:gd name="connsiteY8" fmla="*/ 507755 h 537990"/>
                  <a:gd name="connsiteX9" fmla="*/ 111222 w 168021"/>
                  <a:gd name="connsiteY9" fmla="*/ 522269 h 537990"/>
                  <a:gd name="connsiteX10" fmla="*/ 91510 w 168021"/>
                  <a:gd name="connsiteY10" fmla="*/ 537847 h 537990"/>
                  <a:gd name="connsiteX0" fmla="*/ 0 w 166204"/>
                  <a:gd name="connsiteY0" fmla="*/ 0 h 537990"/>
                  <a:gd name="connsiteX1" fmla="*/ 67427 w 166204"/>
                  <a:gd name="connsiteY1" fmla="*/ 40552 h 537990"/>
                  <a:gd name="connsiteX2" fmla="*/ 109538 w 166204"/>
                  <a:gd name="connsiteY2" fmla="*/ 88290 h 537990"/>
                  <a:gd name="connsiteX3" fmla="*/ 141121 w 166204"/>
                  <a:gd name="connsiteY3" fmla="*/ 134908 h 537990"/>
                  <a:gd name="connsiteX4" fmla="*/ 156661 w 166204"/>
                  <a:gd name="connsiteY4" fmla="*/ 181727 h 537990"/>
                  <a:gd name="connsiteX5" fmla="*/ 161052 w 166204"/>
                  <a:gd name="connsiteY5" fmla="*/ 351362 h 537990"/>
                  <a:gd name="connsiteX6" fmla="*/ 152740 w 166204"/>
                  <a:gd name="connsiteY6" fmla="*/ 390914 h 537990"/>
                  <a:gd name="connsiteX7" fmla="*/ 166186 w 166204"/>
                  <a:gd name="connsiteY7" fmla="*/ 434586 h 537990"/>
                  <a:gd name="connsiteX8" fmla="*/ 138121 w 166204"/>
                  <a:gd name="connsiteY8" fmla="*/ 507755 h 537990"/>
                  <a:gd name="connsiteX9" fmla="*/ 111222 w 166204"/>
                  <a:gd name="connsiteY9" fmla="*/ 522269 h 537990"/>
                  <a:gd name="connsiteX10" fmla="*/ 91510 w 166204"/>
                  <a:gd name="connsiteY10" fmla="*/ 537847 h 537990"/>
                  <a:gd name="connsiteX0" fmla="*/ 0 w 161133"/>
                  <a:gd name="connsiteY0" fmla="*/ 0 h 537990"/>
                  <a:gd name="connsiteX1" fmla="*/ 67427 w 161133"/>
                  <a:gd name="connsiteY1" fmla="*/ 40552 h 537990"/>
                  <a:gd name="connsiteX2" fmla="*/ 109538 w 161133"/>
                  <a:gd name="connsiteY2" fmla="*/ 88290 h 537990"/>
                  <a:gd name="connsiteX3" fmla="*/ 141121 w 161133"/>
                  <a:gd name="connsiteY3" fmla="*/ 134908 h 537990"/>
                  <a:gd name="connsiteX4" fmla="*/ 156661 w 161133"/>
                  <a:gd name="connsiteY4" fmla="*/ 181727 h 537990"/>
                  <a:gd name="connsiteX5" fmla="*/ 161052 w 161133"/>
                  <a:gd name="connsiteY5" fmla="*/ 351362 h 537990"/>
                  <a:gd name="connsiteX6" fmla="*/ 152740 w 161133"/>
                  <a:gd name="connsiteY6" fmla="*/ 390914 h 537990"/>
                  <a:gd name="connsiteX7" fmla="*/ 161092 w 161133"/>
                  <a:gd name="connsiteY7" fmla="*/ 449701 h 537990"/>
                  <a:gd name="connsiteX8" fmla="*/ 138121 w 161133"/>
                  <a:gd name="connsiteY8" fmla="*/ 507755 h 537990"/>
                  <a:gd name="connsiteX9" fmla="*/ 111222 w 161133"/>
                  <a:gd name="connsiteY9" fmla="*/ 522269 h 537990"/>
                  <a:gd name="connsiteX10" fmla="*/ 91510 w 161133"/>
                  <a:gd name="connsiteY10" fmla="*/ 537847 h 537990"/>
                  <a:gd name="connsiteX0" fmla="*/ 0 w 168021"/>
                  <a:gd name="connsiteY0" fmla="*/ 0 h 537990"/>
                  <a:gd name="connsiteX1" fmla="*/ 67427 w 168021"/>
                  <a:gd name="connsiteY1" fmla="*/ 40552 h 537990"/>
                  <a:gd name="connsiteX2" fmla="*/ 109538 w 168021"/>
                  <a:gd name="connsiteY2" fmla="*/ 88290 h 537990"/>
                  <a:gd name="connsiteX3" fmla="*/ 141121 w 168021"/>
                  <a:gd name="connsiteY3" fmla="*/ 134908 h 537990"/>
                  <a:gd name="connsiteX4" fmla="*/ 156661 w 168021"/>
                  <a:gd name="connsiteY4" fmla="*/ 181727 h 537990"/>
                  <a:gd name="connsiteX5" fmla="*/ 161052 w 168021"/>
                  <a:gd name="connsiteY5" fmla="*/ 351362 h 537990"/>
                  <a:gd name="connsiteX6" fmla="*/ 168021 w 168021"/>
                  <a:gd name="connsiteY6" fmla="*/ 400953 h 537990"/>
                  <a:gd name="connsiteX7" fmla="*/ 161092 w 168021"/>
                  <a:gd name="connsiteY7" fmla="*/ 449701 h 537990"/>
                  <a:gd name="connsiteX8" fmla="*/ 138121 w 168021"/>
                  <a:gd name="connsiteY8" fmla="*/ 507755 h 537990"/>
                  <a:gd name="connsiteX9" fmla="*/ 111222 w 168021"/>
                  <a:gd name="connsiteY9" fmla="*/ 522269 h 537990"/>
                  <a:gd name="connsiteX10" fmla="*/ 91510 w 168021"/>
                  <a:gd name="connsiteY10" fmla="*/ 537847 h 537990"/>
                  <a:gd name="connsiteX0" fmla="*/ 0 w 168021"/>
                  <a:gd name="connsiteY0" fmla="*/ 0 h 537990"/>
                  <a:gd name="connsiteX1" fmla="*/ 67427 w 168021"/>
                  <a:gd name="connsiteY1" fmla="*/ 40552 h 537990"/>
                  <a:gd name="connsiteX2" fmla="*/ 109538 w 168021"/>
                  <a:gd name="connsiteY2" fmla="*/ 88290 h 537990"/>
                  <a:gd name="connsiteX3" fmla="*/ 141121 w 168021"/>
                  <a:gd name="connsiteY3" fmla="*/ 134908 h 537990"/>
                  <a:gd name="connsiteX4" fmla="*/ 156661 w 168021"/>
                  <a:gd name="connsiteY4" fmla="*/ 181727 h 537990"/>
                  <a:gd name="connsiteX5" fmla="*/ 161052 w 168021"/>
                  <a:gd name="connsiteY5" fmla="*/ 351362 h 537990"/>
                  <a:gd name="connsiteX6" fmla="*/ 168021 w 168021"/>
                  <a:gd name="connsiteY6" fmla="*/ 400953 h 537990"/>
                  <a:gd name="connsiteX7" fmla="*/ 161092 w 168021"/>
                  <a:gd name="connsiteY7" fmla="*/ 454627 h 537990"/>
                  <a:gd name="connsiteX8" fmla="*/ 138121 w 168021"/>
                  <a:gd name="connsiteY8" fmla="*/ 507755 h 537990"/>
                  <a:gd name="connsiteX9" fmla="*/ 111222 w 168021"/>
                  <a:gd name="connsiteY9" fmla="*/ 522269 h 537990"/>
                  <a:gd name="connsiteX10" fmla="*/ 91510 w 168021"/>
                  <a:gd name="connsiteY10" fmla="*/ 537847 h 537990"/>
                  <a:gd name="connsiteX0" fmla="*/ 0 w 161149"/>
                  <a:gd name="connsiteY0" fmla="*/ 0 h 537990"/>
                  <a:gd name="connsiteX1" fmla="*/ 67427 w 161149"/>
                  <a:gd name="connsiteY1" fmla="*/ 40552 h 537990"/>
                  <a:gd name="connsiteX2" fmla="*/ 109538 w 161149"/>
                  <a:gd name="connsiteY2" fmla="*/ 88290 h 537990"/>
                  <a:gd name="connsiteX3" fmla="*/ 141121 w 161149"/>
                  <a:gd name="connsiteY3" fmla="*/ 134908 h 537990"/>
                  <a:gd name="connsiteX4" fmla="*/ 156661 w 161149"/>
                  <a:gd name="connsiteY4" fmla="*/ 181727 h 537990"/>
                  <a:gd name="connsiteX5" fmla="*/ 161052 w 161149"/>
                  <a:gd name="connsiteY5" fmla="*/ 351362 h 537990"/>
                  <a:gd name="connsiteX6" fmla="*/ 157834 w 161149"/>
                  <a:gd name="connsiteY6" fmla="*/ 405897 h 537990"/>
                  <a:gd name="connsiteX7" fmla="*/ 161092 w 161149"/>
                  <a:gd name="connsiteY7" fmla="*/ 454627 h 537990"/>
                  <a:gd name="connsiteX8" fmla="*/ 138121 w 161149"/>
                  <a:gd name="connsiteY8" fmla="*/ 507755 h 537990"/>
                  <a:gd name="connsiteX9" fmla="*/ 111222 w 161149"/>
                  <a:gd name="connsiteY9" fmla="*/ 522269 h 537990"/>
                  <a:gd name="connsiteX10" fmla="*/ 91510 w 161149"/>
                  <a:gd name="connsiteY10" fmla="*/ 537847 h 53799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61149" h="537990">
                    <a:moveTo>
                      <a:pt x="0" y="0"/>
                    </a:moveTo>
                    <a:lnTo>
                      <a:pt x="67427" y="40552"/>
                    </a:lnTo>
                    <a:lnTo>
                      <a:pt x="109538" y="88290"/>
                    </a:lnTo>
                    <a:lnTo>
                      <a:pt x="141121" y="134908"/>
                    </a:lnTo>
                    <a:lnTo>
                      <a:pt x="156661" y="181727"/>
                    </a:lnTo>
                    <a:cubicBezTo>
                      <a:pt x="158285" y="217803"/>
                      <a:pt x="161705" y="316450"/>
                      <a:pt x="161052" y="351362"/>
                    </a:cubicBezTo>
                    <a:cubicBezTo>
                      <a:pt x="160399" y="386274"/>
                      <a:pt x="155281" y="390246"/>
                      <a:pt x="157834" y="405897"/>
                    </a:cubicBezTo>
                    <a:cubicBezTo>
                      <a:pt x="157222" y="420406"/>
                      <a:pt x="161704" y="440118"/>
                      <a:pt x="161092" y="454627"/>
                    </a:cubicBezTo>
                    <a:lnTo>
                      <a:pt x="138121" y="507755"/>
                    </a:lnTo>
                    <a:cubicBezTo>
                      <a:pt x="128471" y="517587"/>
                      <a:pt x="118990" y="517254"/>
                      <a:pt x="111222" y="522269"/>
                    </a:cubicBezTo>
                    <a:cubicBezTo>
                      <a:pt x="103454" y="527284"/>
                      <a:pt x="94685" y="539444"/>
                      <a:pt x="91510" y="537847"/>
                    </a:cubicBezTo>
                  </a:path>
                </a:pathLst>
              </a:custGeom>
              <a:ln w="1905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10" name="Freeform 9">
                <a:extLst>
                  <a:ext uri="{FF2B5EF4-FFF2-40B4-BE49-F238E27FC236}">
                    <a16:creationId xmlns:a16="http://schemas.microsoft.com/office/drawing/2014/main" id="{00000000-0008-0000-1100-00000A000000}"/>
                  </a:ext>
                </a:extLst>
              </xdr:cNvPr>
              <xdr:cNvSpPr/>
            </xdr:nvSpPr>
            <xdr:spPr>
              <a:xfrm>
                <a:off x="1876425" y="16533019"/>
                <a:ext cx="450056" cy="452437"/>
              </a:xfrm>
              <a:custGeom>
                <a:avLst/>
                <a:gdLst>
                  <a:gd name="connsiteX0" fmla="*/ 447675 w 450056"/>
                  <a:gd name="connsiteY0" fmla="*/ 452437 h 452437"/>
                  <a:gd name="connsiteX1" fmla="*/ 450056 w 450056"/>
                  <a:gd name="connsiteY1" fmla="*/ 0 h 452437"/>
                  <a:gd name="connsiteX2" fmla="*/ 0 w 450056"/>
                  <a:gd name="connsiteY2" fmla="*/ 250031 h 452437"/>
                  <a:gd name="connsiteX3" fmla="*/ 23813 w 450056"/>
                  <a:gd name="connsiteY3" fmla="*/ 245269 h 452437"/>
                  <a:gd name="connsiteX4" fmla="*/ 57150 w 450056"/>
                  <a:gd name="connsiteY4" fmla="*/ 250031 h 452437"/>
                  <a:gd name="connsiteX5" fmla="*/ 92869 w 450056"/>
                  <a:gd name="connsiteY5" fmla="*/ 261937 h 452437"/>
                  <a:gd name="connsiteX6" fmla="*/ 447675 w 450056"/>
                  <a:gd name="connsiteY6" fmla="*/ 452437 h 4524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50056" h="452437">
                    <a:moveTo>
                      <a:pt x="447675" y="452437"/>
                    </a:moveTo>
                    <a:cubicBezTo>
                      <a:pt x="448469" y="301625"/>
                      <a:pt x="449262" y="150812"/>
                      <a:pt x="450056" y="0"/>
                    </a:cubicBezTo>
                    <a:lnTo>
                      <a:pt x="0" y="250031"/>
                    </a:lnTo>
                    <a:lnTo>
                      <a:pt x="23813" y="245269"/>
                    </a:lnTo>
                    <a:lnTo>
                      <a:pt x="57150" y="250031"/>
                    </a:lnTo>
                    <a:lnTo>
                      <a:pt x="92869" y="261937"/>
                    </a:lnTo>
                    <a:lnTo>
                      <a:pt x="447675" y="452437"/>
                    </a:lnTo>
                    <a:close/>
                  </a:path>
                </a:pathLst>
              </a:custGeom>
              <a:solidFill>
                <a:srgbClr val="CCFFCC"/>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xnSp macro="">
          <xdr:nvCxnSpPr>
            <xdr:cNvPr id="813299" name="Straight Connector 813298">
              <a:extLst>
                <a:ext uri="{FF2B5EF4-FFF2-40B4-BE49-F238E27FC236}">
                  <a16:creationId xmlns:a16="http://schemas.microsoft.com/office/drawing/2014/main" id="{00000000-0008-0000-1100-0000F3680C00}"/>
                </a:ext>
              </a:extLst>
            </xdr:cNvPr>
            <xdr:cNvCxnSpPr/>
          </xdr:nvCxnSpPr>
          <xdr:spPr>
            <a:xfrm>
              <a:off x="4600575" y="15706725"/>
              <a:ext cx="4933950" cy="2705100"/>
            </a:xfrm>
            <a:prstGeom prst="line">
              <a:avLst/>
            </a:prstGeom>
            <a:ln w="28575">
              <a:solidFill>
                <a:schemeClr val="tx1"/>
              </a:solidFill>
              <a:prstDash val="lgDashDotDot"/>
            </a:ln>
          </xdr:spPr>
          <xdr:style>
            <a:lnRef idx="1">
              <a:schemeClr val="accent1"/>
            </a:lnRef>
            <a:fillRef idx="0">
              <a:schemeClr val="accent1"/>
            </a:fillRef>
            <a:effectRef idx="0">
              <a:schemeClr val="accent1"/>
            </a:effectRef>
            <a:fontRef idx="minor">
              <a:schemeClr val="tx1"/>
            </a:fontRef>
          </xdr:style>
        </xdr:cxnSp>
        <xdr:cxnSp macro="">
          <xdr:nvCxnSpPr>
            <xdr:cNvPr id="813307" name="Straight Arrow Connector 813306">
              <a:extLst>
                <a:ext uri="{FF2B5EF4-FFF2-40B4-BE49-F238E27FC236}">
                  <a16:creationId xmlns:a16="http://schemas.microsoft.com/office/drawing/2014/main" id="{00000000-0008-0000-1100-0000FB680C00}"/>
                </a:ext>
              </a:extLst>
            </xdr:cNvPr>
            <xdr:cNvCxnSpPr/>
          </xdr:nvCxnSpPr>
          <xdr:spPr>
            <a:xfrm>
              <a:off x="4610100" y="15716250"/>
              <a:ext cx="0" cy="323850"/>
            </a:xfrm>
            <a:prstGeom prst="straightConnector1">
              <a:avLst/>
            </a:prstGeom>
            <a:ln w="28575">
              <a:solidFill>
                <a:schemeClr val="tx1"/>
              </a:solidFill>
              <a:prstDash val="solid"/>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cxnSp macro="">
          <xdr:nvCxnSpPr>
            <xdr:cNvPr id="646" name="Straight Arrow Connector 645">
              <a:extLst>
                <a:ext uri="{FF2B5EF4-FFF2-40B4-BE49-F238E27FC236}">
                  <a16:creationId xmlns:a16="http://schemas.microsoft.com/office/drawing/2014/main" id="{00000000-0008-0000-1100-000086020000}"/>
                </a:ext>
              </a:extLst>
            </xdr:cNvPr>
            <xdr:cNvCxnSpPr/>
          </xdr:nvCxnSpPr>
          <xdr:spPr>
            <a:xfrm>
              <a:off x="9544050" y="18411825"/>
              <a:ext cx="0" cy="323850"/>
            </a:xfrm>
            <a:prstGeom prst="straightConnector1">
              <a:avLst/>
            </a:prstGeom>
            <a:ln w="28575">
              <a:solidFill>
                <a:schemeClr val="tx1"/>
              </a:solidFill>
              <a:prstDash val="solid"/>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813310" name="TextBox 813309">
              <a:extLst>
                <a:ext uri="{FF2B5EF4-FFF2-40B4-BE49-F238E27FC236}">
                  <a16:creationId xmlns:a16="http://schemas.microsoft.com/office/drawing/2014/main" id="{00000000-0008-0000-1100-0000FE680C00}"/>
                </a:ext>
              </a:extLst>
            </xdr:cNvPr>
            <xdr:cNvSpPr txBox="1"/>
          </xdr:nvSpPr>
          <xdr:spPr>
            <a:xfrm>
              <a:off x="4391025" y="15982950"/>
              <a:ext cx="41910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t>A</a:t>
              </a:r>
            </a:p>
          </xdr:txBody>
        </xdr:sp>
        <xdr:sp macro="" textlink="">
          <xdr:nvSpPr>
            <xdr:cNvPr id="648" name="TextBox 647">
              <a:extLst>
                <a:ext uri="{FF2B5EF4-FFF2-40B4-BE49-F238E27FC236}">
                  <a16:creationId xmlns:a16="http://schemas.microsoft.com/office/drawing/2014/main" id="{00000000-0008-0000-1100-000088020000}"/>
                </a:ext>
              </a:extLst>
            </xdr:cNvPr>
            <xdr:cNvSpPr txBox="1"/>
          </xdr:nvSpPr>
          <xdr:spPr>
            <a:xfrm>
              <a:off x="9344025" y="18697575"/>
              <a:ext cx="41910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t>A</a:t>
              </a:r>
            </a:p>
          </xdr:txBody>
        </xdr:sp>
      </xdr:grpSp>
      <xdr:grpSp>
        <xdr:nvGrpSpPr>
          <xdr:cNvPr id="3" name="Group 2">
            <a:extLst>
              <a:ext uri="{FF2B5EF4-FFF2-40B4-BE49-F238E27FC236}">
                <a16:creationId xmlns:a16="http://schemas.microsoft.com/office/drawing/2014/main" id="{00000000-0008-0000-1100-000003000000}"/>
              </a:ext>
            </a:extLst>
          </xdr:cNvPr>
          <xdr:cNvGrpSpPr/>
        </xdr:nvGrpSpPr>
        <xdr:grpSpPr>
          <a:xfrm>
            <a:off x="1266825" y="18002250"/>
            <a:ext cx="5731670" cy="4010025"/>
            <a:chOff x="3952875" y="17268825"/>
            <a:chExt cx="5731670" cy="4010025"/>
          </a:xfrm>
        </xdr:grpSpPr>
        <xdr:sp macro="" textlink="">
          <xdr:nvSpPr>
            <xdr:cNvPr id="8" name="Rounded Rectangle 7">
              <a:extLst>
                <a:ext uri="{FF2B5EF4-FFF2-40B4-BE49-F238E27FC236}">
                  <a16:creationId xmlns:a16="http://schemas.microsoft.com/office/drawing/2014/main" id="{00000000-0008-0000-1100-000008000000}"/>
                </a:ext>
              </a:extLst>
            </xdr:cNvPr>
            <xdr:cNvSpPr/>
          </xdr:nvSpPr>
          <xdr:spPr>
            <a:xfrm>
              <a:off x="4772025" y="20250150"/>
              <a:ext cx="771525" cy="47625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4" name="Rounded Rectangle 523">
              <a:extLst>
                <a:ext uri="{FF2B5EF4-FFF2-40B4-BE49-F238E27FC236}">
                  <a16:creationId xmlns:a16="http://schemas.microsoft.com/office/drawing/2014/main" id="{00000000-0008-0000-1100-00000C020000}"/>
                </a:ext>
              </a:extLst>
            </xdr:cNvPr>
            <xdr:cNvSpPr/>
          </xdr:nvSpPr>
          <xdr:spPr>
            <a:xfrm>
              <a:off x="7905750" y="18592800"/>
              <a:ext cx="771525" cy="51435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ounded Rectangle 5">
              <a:extLst>
                <a:ext uri="{FF2B5EF4-FFF2-40B4-BE49-F238E27FC236}">
                  <a16:creationId xmlns:a16="http://schemas.microsoft.com/office/drawing/2014/main" id="{00000000-0008-0000-1100-000006000000}"/>
                </a:ext>
              </a:extLst>
            </xdr:cNvPr>
            <xdr:cNvSpPr/>
          </xdr:nvSpPr>
          <xdr:spPr>
            <a:xfrm>
              <a:off x="5048250" y="18592800"/>
              <a:ext cx="3286125" cy="213360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00" name="Rounded Rectangle 12399">
              <a:extLst>
                <a:ext uri="{FF2B5EF4-FFF2-40B4-BE49-F238E27FC236}">
                  <a16:creationId xmlns:a16="http://schemas.microsoft.com/office/drawing/2014/main" id="{00000000-0008-0000-1100-000070300000}"/>
                </a:ext>
              </a:extLst>
            </xdr:cNvPr>
            <xdr:cNvSpPr/>
          </xdr:nvSpPr>
          <xdr:spPr>
            <a:xfrm>
              <a:off x="5210175" y="18764250"/>
              <a:ext cx="2981325" cy="1819275"/>
            </a:xfrm>
            <a:prstGeom prst="roundRect">
              <a:avLst>
                <a:gd name="adj" fmla="val 11955"/>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38" name="Rectangle 12437">
              <a:extLst>
                <a:ext uri="{FF2B5EF4-FFF2-40B4-BE49-F238E27FC236}">
                  <a16:creationId xmlns:a16="http://schemas.microsoft.com/office/drawing/2014/main" id="{00000000-0008-0000-1100-000096300000}"/>
                </a:ext>
              </a:extLst>
            </xdr:cNvPr>
            <xdr:cNvSpPr/>
          </xdr:nvSpPr>
          <xdr:spPr>
            <a:xfrm>
              <a:off x="7972425" y="18948040"/>
              <a:ext cx="216693" cy="1422471"/>
            </a:xfrm>
            <a:prstGeom prst="rect">
              <a:avLst/>
            </a:prstGeom>
            <a:solidFill>
              <a:schemeClr val="accent1">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7699" name="Text Box 1507">
              <a:extLst>
                <a:ext uri="{FF2B5EF4-FFF2-40B4-BE49-F238E27FC236}">
                  <a16:creationId xmlns:a16="http://schemas.microsoft.com/office/drawing/2014/main" id="{00000000-0008-0000-1100-0000E3190200}"/>
                </a:ext>
              </a:extLst>
            </xdr:cNvPr>
            <xdr:cNvSpPr txBox="1">
              <a:spLocks noChangeArrowheads="1"/>
            </xdr:cNvSpPr>
          </xdr:nvSpPr>
          <xdr:spPr bwMode="auto">
            <a:xfrm>
              <a:off x="5553075" y="20888325"/>
              <a:ext cx="1971675" cy="390525"/>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A-A</a:t>
              </a:r>
            </a:p>
          </xdr:txBody>
        </xdr:sp>
        <xdr:sp macro="" textlink="">
          <xdr:nvSpPr>
            <xdr:cNvPr id="9" name="Rectangle 8">
              <a:extLst>
                <a:ext uri="{FF2B5EF4-FFF2-40B4-BE49-F238E27FC236}">
                  <a16:creationId xmlns:a16="http://schemas.microsoft.com/office/drawing/2014/main" id="{00000000-0008-0000-1100-000009000000}"/>
                </a:ext>
              </a:extLst>
            </xdr:cNvPr>
            <xdr:cNvSpPr/>
          </xdr:nvSpPr>
          <xdr:spPr>
            <a:xfrm>
              <a:off x="4762501" y="20412074"/>
              <a:ext cx="733424" cy="171451"/>
            </a:xfrm>
            <a:prstGeom prst="rect">
              <a:avLst/>
            </a:prstGeom>
            <a:solidFill>
              <a:sysClr val="window" lastClr="FFFFFF"/>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5" name="Rectangle 524">
              <a:extLst>
                <a:ext uri="{FF2B5EF4-FFF2-40B4-BE49-F238E27FC236}">
                  <a16:creationId xmlns:a16="http://schemas.microsoft.com/office/drawing/2014/main" id="{00000000-0008-0000-1100-00000D020000}"/>
                </a:ext>
              </a:extLst>
            </xdr:cNvPr>
            <xdr:cNvSpPr/>
          </xdr:nvSpPr>
          <xdr:spPr>
            <a:xfrm>
              <a:off x="7939087" y="18764250"/>
              <a:ext cx="752475" cy="180975"/>
            </a:xfrm>
            <a:prstGeom prst="rect">
              <a:avLst/>
            </a:prstGeom>
            <a:solidFill>
              <a:schemeClr val="bg1"/>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3" name="Rectangle 572">
              <a:extLst>
                <a:ext uri="{FF2B5EF4-FFF2-40B4-BE49-F238E27FC236}">
                  <a16:creationId xmlns:a16="http://schemas.microsoft.com/office/drawing/2014/main" id="{00000000-0008-0000-1100-00003D020000}"/>
                </a:ext>
              </a:extLst>
            </xdr:cNvPr>
            <xdr:cNvSpPr/>
          </xdr:nvSpPr>
          <xdr:spPr>
            <a:xfrm>
              <a:off x="4914901" y="20588289"/>
              <a:ext cx="569118" cy="126206"/>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562" name="Straight Connector 561">
              <a:extLst>
                <a:ext uri="{FF2B5EF4-FFF2-40B4-BE49-F238E27FC236}">
                  <a16:creationId xmlns:a16="http://schemas.microsoft.com/office/drawing/2014/main" id="{00000000-0008-0000-1100-000032020000}"/>
                </a:ext>
              </a:extLst>
            </xdr:cNvPr>
            <xdr:cNvCxnSpPr/>
          </xdr:nvCxnSpPr>
          <xdr:spPr>
            <a:xfrm flipH="1" flipV="1">
              <a:off x="4764878" y="20581144"/>
              <a:ext cx="3236122" cy="4762"/>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576" name="Rectangle 575">
              <a:extLst>
                <a:ext uri="{FF2B5EF4-FFF2-40B4-BE49-F238E27FC236}">
                  <a16:creationId xmlns:a16="http://schemas.microsoft.com/office/drawing/2014/main" id="{00000000-0008-0000-1100-000040020000}"/>
                </a:ext>
              </a:extLst>
            </xdr:cNvPr>
            <xdr:cNvSpPr/>
          </xdr:nvSpPr>
          <xdr:spPr>
            <a:xfrm>
              <a:off x="4986338" y="20264438"/>
              <a:ext cx="123826" cy="142875"/>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1" name="Rectangle 580">
              <a:extLst>
                <a:ext uri="{FF2B5EF4-FFF2-40B4-BE49-F238E27FC236}">
                  <a16:creationId xmlns:a16="http://schemas.microsoft.com/office/drawing/2014/main" id="{00000000-0008-0000-1100-000045020000}"/>
                </a:ext>
              </a:extLst>
            </xdr:cNvPr>
            <xdr:cNvSpPr/>
          </xdr:nvSpPr>
          <xdr:spPr>
            <a:xfrm>
              <a:off x="7986713" y="18607088"/>
              <a:ext cx="366712" cy="152400"/>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467" name="Straight Connector 12466">
              <a:extLst>
                <a:ext uri="{FF2B5EF4-FFF2-40B4-BE49-F238E27FC236}">
                  <a16:creationId xmlns:a16="http://schemas.microsoft.com/office/drawing/2014/main" id="{00000000-0008-0000-1100-0000B3300000}"/>
                </a:ext>
              </a:extLst>
            </xdr:cNvPr>
            <xdr:cNvCxnSpPr/>
          </xdr:nvCxnSpPr>
          <xdr:spPr>
            <a:xfrm flipV="1">
              <a:off x="7881940" y="18761869"/>
              <a:ext cx="807244" cy="238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1100-000048020000}"/>
                </a:ext>
              </a:extLst>
            </xdr:cNvPr>
            <xdr:cNvCxnSpPr/>
          </xdr:nvCxnSpPr>
          <xdr:spPr>
            <a:xfrm flipV="1">
              <a:off x="7879575" y="18942841"/>
              <a:ext cx="807244" cy="238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00000000-0008-0000-1100-00000D000000}"/>
                </a:ext>
              </a:extLst>
            </xdr:cNvPr>
            <xdr:cNvCxnSpPr>
              <a:stCxn id="9" idx="0"/>
              <a:endCxn id="9" idx="0"/>
            </xdr:cNvCxnSpPr>
          </xdr:nvCxnSpPr>
          <xdr:spPr>
            <a:xfrm>
              <a:off x="5129213" y="20412074"/>
              <a:ext cx="0" cy="0"/>
            </a:xfrm>
            <a:prstGeom prst="line">
              <a:avLst/>
            </a:prstGeom>
          </xdr:spPr>
          <xdr:style>
            <a:lnRef idx="1">
              <a:schemeClr val="accent1"/>
            </a:lnRef>
            <a:fillRef idx="0">
              <a:schemeClr val="accent1"/>
            </a:fillRef>
            <a:effectRef idx="0">
              <a:schemeClr val="accent1"/>
            </a:effectRef>
            <a:fontRef idx="minor">
              <a:schemeClr val="tx1"/>
            </a:fontRef>
          </xdr:style>
        </xdr:cxnSp>
        <xdr:grpSp>
          <xdr:nvGrpSpPr>
            <xdr:cNvPr id="12393" name="Group 12392">
              <a:extLst>
                <a:ext uri="{FF2B5EF4-FFF2-40B4-BE49-F238E27FC236}">
                  <a16:creationId xmlns:a16="http://schemas.microsoft.com/office/drawing/2014/main" id="{00000000-0008-0000-1100-000069300000}"/>
                </a:ext>
              </a:extLst>
            </xdr:cNvPr>
            <xdr:cNvGrpSpPr/>
          </xdr:nvGrpSpPr>
          <xdr:grpSpPr>
            <a:xfrm>
              <a:off x="4976812" y="20402551"/>
              <a:ext cx="207169" cy="66675"/>
              <a:chOff x="266700" y="15313819"/>
              <a:chExt cx="207169" cy="66675"/>
            </a:xfrm>
          </xdr:grpSpPr>
          <xdr:cxnSp macro="">
            <xdr:nvCxnSpPr>
              <xdr:cNvPr id="15" name="Straight Connector 14">
                <a:extLst>
                  <a:ext uri="{FF2B5EF4-FFF2-40B4-BE49-F238E27FC236}">
                    <a16:creationId xmlns:a16="http://schemas.microsoft.com/office/drawing/2014/main" id="{00000000-0008-0000-1100-00000F000000}"/>
                  </a:ext>
                </a:extLst>
              </xdr:cNvPr>
              <xdr:cNvCxnSpPr/>
            </xdr:nvCxnSpPr>
            <xdr:spPr>
              <a:xfrm>
                <a:off x="288131" y="15335250"/>
                <a:ext cx="185738" cy="45244"/>
              </a:xfrm>
              <a:prstGeom prst="line">
                <a:avLst/>
              </a:prstGeom>
              <a:ln w="28575"/>
            </xdr:spPr>
            <xdr:style>
              <a:lnRef idx="1">
                <a:schemeClr val="dk1"/>
              </a:lnRef>
              <a:fillRef idx="0">
                <a:schemeClr val="dk1"/>
              </a:fillRef>
              <a:effectRef idx="0">
                <a:schemeClr val="dk1"/>
              </a:effectRef>
              <a:fontRef idx="minor">
                <a:schemeClr val="tx1"/>
              </a:fontRef>
            </xdr:style>
          </xdr:cxnSp>
          <xdr:sp macro="" textlink="">
            <xdr:nvSpPr>
              <xdr:cNvPr id="12391" name="Oval 12390">
                <a:extLst>
                  <a:ext uri="{FF2B5EF4-FFF2-40B4-BE49-F238E27FC236}">
                    <a16:creationId xmlns:a16="http://schemas.microsoft.com/office/drawing/2014/main" id="{00000000-0008-0000-1100-000067300000}"/>
                  </a:ext>
                </a:extLst>
              </xdr:cNvPr>
              <xdr:cNvSpPr/>
            </xdr:nvSpPr>
            <xdr:spPr>
              <a:xfrm>
                <a:off x="266700" y="15313819"/>
                <a:ext cx="45719" cy="45719"/>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12397" name="Freeform 12396">
              <a:extLst>
                <a:ext uri="{FF2B5EF4-FFF2-40B4-BE49-F238E27FC236}">
                  <a16:creationId xmlns:a16="http://schemas.microsoft.com/office/drawing/2014/main" id="{00000000-0008-0000-1100-00006D300000}"/>
                </a:ext>
              </a:extLst>
            </xdr:cNvPr>
            <xdr:cNvSpPr/>
          </xdr:nvSpPr>
          <xdr:spPr>
            <a:xfrm>
              <a:off x="8334375" y="18631544"/>
              <a:ext cx="463980" cy="308182"/>
            </a:xfrm>
            <a:custGeom>
              <a:avLst/>
              <a:gdLst>
                <a:gd name="connsiteX0" fmla="*/ 0 w 457200"/>
                <a:gd name="connsiteY0" fmla="*/ 161925 h 333375"/>
                <a:gd name="connsiteX1" fmla="*/ 457200 w 457200"/>
                <a:gd name="connsiteY1" fmla="*/ 0 h 333375"/>
                <a:gd name="connsiteX2" fmla="*/ 447675 w 457200"/>
                <a:gd name="connsiteY2" fmla="*/ 333375 h 333375"/>
                <a:gd name="connsiteX3" fmla="*/ 28575 w 457200"/>
                <a:gd name="connsiteY3" fmla="*/ 333375 h 333375"/>
                <a:gd name="connsiteX4" fmla="*/ 0 w 457200"/>
                <a:gd name="connsiteY4" fmla="*/ 161925 h 333375"/>
                <a:gd name="connsiteX0" fmla="*/ 0 w 457200"/>
                <a:gd name="connsiteY0" fmla="*/ 161925 h 333375"/>
                <a:gd name="connsiteX1" fmla="*/ 457200 w 457200"/>
                <a:gd name="connsiteY1" fmla="*/ 0 h 333375"/>
                <a:gd name="connsiteX2" fmla="*/ 447675 w 457200"/>
                <a:gd name="connsiteY2" fmla="*/ 333375 h 333375"/>
                <a:gd name="connsiteX3" fmla="*/ 28575 w 457200"/>
                <a:gd name="connsiteY3" fmla="*/ 312964 h 333375"/>
                <a:gd name="connsiteX4" fmla="*/ 0 w 457200"/>
                <a:gd name="connsiteY4" fmla="*/ 161925 h 333375"/>
                <a:gd name="connsiteX0" fmla="*/ 0 w 457200"/>
                <a:gd name="connsiteY0" fmla="*/ 161925 h 312964"/>
                <a:gd name="connsiteX1" fmla="*/ 457200 w 457200"/>
                <a:gd name="connsiteY1" fmla="*/ 0 h 312964"/>
                <a:gd name="connsiteX2" fmla="*/ 444290 w 457200"/>
                <a:gd name="connsiteY2" fmla="*/ 306161 h 312964"/>
                <a:gd name="connsiteX3" fmla="*/ 28575 w 457200"/>
                <a:gd name="connsiteY3" fmla="*/ 312964 h 312964"/>
                <a:gd name="connsiteX4" fmla="*/ 0 w 457200"/>
                <a:gd name="connsiteY4" fmla="*/ 161925 h 312964"/>
                <a:gd name="connsiteX0" fmla="*/ 0 w 463972"/>
                <a:gd name="connsiteY0" fmla="*/ 172130 h 323169"/>
                <a:gd name="connsiteX1" fmla="*/ 463972 w 463972"/>
                <a:gd name="connsiteY1" fmla="*/ 0 h 323169"/>
                <a:gd name="connsiteX2" fmla="*/ 444290 w 463972"/>
                <a:gd name="connsiteY2" fmla="*/ 316366 h 323169"/>
                <a:gd name="connsiteX3" fmla="*/ 28575 w 463972"/>
                <a:gd name="connsiteY3" fmla="*/ 323169 h 323169"/>
                <a:gd name="connsiteX4" fmla="*/ 0 w 463972"/>
                <a:gd name="connsiteY4" fmla="*/ 172130 h 323169"/>
                <a:gd name="connsiteX0" fmla="*/ 0 w 463972"/>
                <a:gd name="connsiteY0" fmla="*/ 179474 h 330513"/>
                <a:gd name="connsiteX1" fmla="*/ 463972 w 463972"/>
                <a:gd name="connsiteY1" fmla="*/ 0 h 330513"/>
                <a:gd name="connsiteX2" fmla="*/ 444290 w 463972"/>
                <a:gd name="connsiteY2" fmla="*/ 323710 h 330513"/>
                <a:gd name="connsiteX3" fmla="*/ 28575 w 463972"/>
                <a:gd name="connsiteY3" fmla="*/ 330513 h 330513"/>
                <a:gd name="connsiteX4" fmla="*/ 0 w 463972"/>
                <a:gd name="connsiteY4" fmla="*/ 179474 h 330513"/>
                <a:gd name="connsiteX0" fmla="*/ 0 w 463972"/>
                <a:gd name="connsiteY0" fmla="*/ 179474 h 334727"/>
                <a:gd name="connsiteX1" fmla="*/ 463972 w 463972"/>
                <a:gd name="connsiteY1" fmla="*/ 0 h 334727"/>
                <a:gd name="connsiteX2" fmla="*/ 444290 w 463972"/>
                <a:gd name="connsiteY2" fmla="*/ 334727 h 334727"/>
                <a:gd name="connsiteX3" fmla="*/ 28575 w 463972"/>
                <a:gd name="connsiteY3" fmla="*/ 330513 h 334727"/>
                <a:gd name="connsiteX4" fmla="*/ 0 w 463972"/>
                <a:gd name="connsiteY4" fmla="*/ 179474 h 33472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63972" h="334727">
                  <a:moveTo>
                    <a:pt x="0" y="179474"/>
                  </a:moveTo>
                  <a:lnTo>
                    <a:pt x="463972" y="0"/>
                  </a:lnTo>
                  <a:lnTo>
                    <a:pt x="444290" y="334727"/>
                  </a:lnTo>
                  <a:lnTo>
                    <a:pt x="28575" y="330513"/>
                  </a:lnTo>
                  <a:lnTo>
                    <a:pt x="0" y="179474"/>
                  </a:lnTo>
                  <a:close/>
                </a:path>
              </a:pathLst>
            </a:cu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399" name="Freeform 12398">
              <a:extLst>
                <a:ext uri="{FF2B5EF4-FFF2-40B4-BE49-F238E27FC236}">
                  <a16:creationId xmlns:a16="http://schemas.microsoft.com/office/drawing/2014/main" id="{00000000-0008-0000-1100-00006F300000}"/>
                </a:ext>
              </a:extLst>
            </xdr:cNvPr>
            <xdr:cNvSpPr/>
          </xdr:nvSpPr>
          <xdr:spPr>
            <a:xfrm>
              <a:off x="8398136" y="18316575"/>
              <a:ext cx="1279265" cy="447675"/>
            </a:xfrm>
            <a:custGeom>
              <a:avLst/>
              <a:gdLst>
                <a:gd name="connsiteX0" fmla="*/ 0 w 1257300"/>
                <a:gd name="connsiteY0" fmla="*/ 447675 h 447675"/>
                <a:gd name="connsiteX1" fmla="*/ 1152525 w 1257300"/>
                <a:gd name="connsiteY1" fmla="*/ 0 h 447675"/>
                <a:gd name="connsiteX2" fmla="*/ 1257300 w 1257300"/>
                <a:gd name="connsiteY2" fmla="*/ 0 h 447675"/>
                <a:gd name="connsiteX3" fmla="*/ 1247775 w 1257300"/>
                <a:gd name="connsiteY3" fmla="*/ 0 h 447675"/>
              </a:gdLst>
              <a:ahLst/>
              <a:cxnLst>
                <a:cxn ang="0">
                  <a:pos x="connsiteX0" y="connsiteY0"/>
                </a:cxn>
                <a:cxn ang="0">
                  <a:pos x="connsiteX1" y="connsiteY1"/>
                </a:cxn>
                <a:cxn ang="0">
                  <a:pos x="connsiteX2" y="connsiteY2"/>
                </a:cxn>
                <a:cxn ang="0">
                  <a:pos x="connsiteX3" y="connsiteY3"/>
                </a:cxn>
              </a:cxnLst>
              <a:rect l="l" t="t" r="r" b="b"/>
              <a:pathLst>
                <a:path w="1257300" h="447675">
                  <a:moveTo>
                    <a:pt x="0" y="447675"/>
                  </a:moveTo>
                  <a:lnTo>
                    <a:pt x="1152525" y="0"/>
                  </a:lnTo>
                  <a:lnTo>
                    <a:pt x="1257300" y="0"/>
                  </a:lnTo>
                  <a:lnTo>
                    <a:pt x="1247775" y="0"/>
                  </a:ln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404" name="Straight Connector 12403">
              <a:extLst>
                <a:ext uri="{FF2B5EF4-FFF2-40B4-BE49-F238E27FC236}">
                  <a16:creationId xmlns:a16="http://schemas.microsoft.com/office/drawing/2014/main" id="{00000000-0008-0000-1100-000074300000}"/>
                </a:ext>
              </a:extLst>
            </xdr:cNvPr>
            <xdr:cNvCxnSpPr>
              <a:stCxn id="12399" idx="1"/>
            </xdr:cNvCxnSpPr>
          </xdr:nvCxnSpPr>
          <xdr:spPr>
            <a:xfrm>
              <a:off x="9570705" y="18316575"/>
              <a:ext cx="1920" cy="638175"/>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579" name="Rectangle 578">
              <a:extLst>
                <a:ext uri="{FF2B5EF4-FFF2-40B4-BE49-F238E27FC236}">
                  <a16:creationId xmlns:a16="http://schemas.microsoft.com/office/drawing/2014/main" id="{00000000-0008-0000-1100-000043020000}"/>
                </a:ext>
              </a:extLst>
            </xdr:cNvPr>
            <xdr:cNvSpPr/>
          </xdr:nvSpPr>
          <xdr:spPr>
            <a:xfrm>
              <a:off x="8262938" y="18959512"/>
              <a:ext cx="123826" cy="135732"/>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01" name="Freeform 12400">
              <a:extLst>
                <a:ext uri="{FF2B5EF4-FFF2-40B4-BE49-F238E27FC236}">
                  <a16:creationId xmlns:a16="http://schemas.microsoft.com/office/drawing/2014/main" id="{00000000-0008-0000-1100-000071300000}"/>
                </a:ext>
              </a:extLst>
            </xdr:cNvPr>
            <xdr:cNvSpPr/>
          </xdr:nvSpPr>
          <xdr:spPr>
            <a:xfrm>
              <a:off x="8331995" y="18949987"/>
              <a:ext cx="1352550" cy="0"/>
            </a:xfrm>
            <a:custGeom>
              <a:avLst/>
              <a:gdLst>
                <a:gd name="connsiteX0" fmla="*/ 0 w 1352550"/>
                <a:gd name="connsiteY0" fmla="*/ 0 h 0"/>
                <a:gd name="connsiteX1" fmla="*/ 1352550 w 1352550"/>
                <a:gd name="connsiteY1" fmla="*/ 0 h 0"/>
                <a:gd name="connsiteX2" fmla="*/ 1343025 w 1352550"/>
                <a:gd name="connsiteY2" fmla="*/ 0 h 0"/>
              </a:gdLst>
              <a:ahLst/>
              <a:cxnLst>
                <a:cxn ang="0">
                  <a:pos x="connsiteX0" y="connsiteY0"/>
                </a:cxn>
                <a:cxn ang="0">
                  <a:pos x="connsiteX1" y="connsiteY1"/>
                </a:cxn>
                <a:cxn ang="0">
                  <a:pos x="connsiteX2" y="connsiteY2"/>
                </a:cxn>
              </a:cxnLst>
              <a:rect l="l" t="t" r="r" b="b"/>
              <a:pathLst>
                <a:path w="1352550">
                  <a:moveTo>
                    <a:pt x="0" y="0"/>
                  </a:moveTo>
                  <a:lnTo>
                    <a:pt x="1352550" y="0"/>
                  </a:lnTo>
                  <a:lnTo>
                    <a:pt x="1343025" y="0"/>
                  </a:ln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13295" name="Group 813294">
              <a:extLst>
                <a:ext uri="{FF2B5EF4-FFF2-40B4-BE49-F238E27FC236}">
                  <a16:creationId xmlns:a16="http://schemas.microsoft.com/office/drawing/2014/main" id="{00000000-0008-0000-1100-0000EF680C00}"/>
                </a:ext>
              </a:extLst>
            </xdr:cNvPr>
            <xdr:cNvGrpSpPr/>
          </xdr:nvGrpSpPr>
          <xdr:grpSpPr>
            <a:xfrm>
              <a:off x="8024890" y="19269074"/>
              <a:ext cx="140418" cy="783428"/>
              <a:chOff x="3948190" y="14277974"/>
              <a:chExt cx="140418" cy="783428"/>
            </a:xfrm>
          </xdr:grpSpPr>
          <xdr:sp macro="" textlink="">
            <xdr:nvSpPr>
              <xdr:cNvPr id="12407" name="Rectangle 12406">
                <a:extLst>
                  <a:ext uri="{FF2B5EF4-FFF2-40B4-BE49-F238E27FC236}">
                    <a16:creationId xmlns:a16="http://schemas.microsoft.com/office/drawing/2014/main" id="{00000000-0008-0000-1100-000077300000}"/>
                  </a:ext>
                </a:extLst>
              </xdr:cNvPr>
              <xdr:cNvSpPr/>
            </xdr:nvSpPr>
            <xdr:spPr>
              <a:xfrm>
                <a:off x="3996568" y="14714239"/>
                <a:ext cx="46795" cy="347163"/>
              </a:xfrm>
              <a:prstGeom prst="rect">
                <a:avLst/>
              </a:prstGeom>
              <a:solidFill>
                <a:schemeClr val="accent6">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3" name="Rectangle 582">
                <a:extLst>
                  <a:ext uri="{FF2B5EF4-FFF2-40B4-BE49-F238E27FC236}">
                    <a16:creationId xmlns:a16="http://schemas.microsoft.com/office/drawing/2014/main" id="{00000000-0008-0000-1100-000047020000}"/>
                  </a:ext>
                </a:extLst>
              </xdr:cNvPr>
              <xdr:cNvSpPr/>
            </xdr:nvSpPr>
            <xdr:spPr>
              <a:xfrm>
                <a:off x="4038680" y="14403315"/>
                <a:ext cx="49928" cy="96115"/>
              </a:xfrm>
              <a:prstGeom prst="rect">
                <a:avLst/>
              </a:prstGeom>
              <a:solidFill>
                <a:srgbClr val="FFC000"/>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2" name="Rectangle 581">
                <a:extLst>
                  <a:ext uri="{FF2B5EF4-FFF2-40B4-BE49-F238E27FC236}">
                    <a16:creationId xmlns:a16="http://schemas.microsoft.com/office/drawing/2014/main" id="{00000000-0008-0000-1100-000046020000}"/>
                  </a:ext>
                </a:extLst>
              </xdr:cNvPr>
              <xdr:cNvSpPr/>
            </xdr:nvSpPr>
            <xdr:spPr>
              <a:xfrm>
                <a:off x="4003844" y="14277974"/>
                <a:ext cx="45719" cy="347663"/>
              </a:xfrm>
              <a:prstGeom prst="rect">
                <a:avLst/>
              </a:prstGeom>
              <a:solidFill>
                <a:schemeClr val="accent6">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5" name="Rectangle 584">
                <a:extLst>
                  <a:ext uri="{FF2B5EF4-FFF2-40B4-BE49-F238E27FC236}">
                    <a16:creationId xmlns:a16="http://schemas.microsoft.com/office/drawing/2014/main" id="{00000000-0008-0000-1100-000049020000}"/>
                  </a:ext>
                </a:extLst>
              </xdr:cNvPr>
              <xdr:cNvSpPr/>
            </xdr:nvSpPr>
            <xdr:spPr>
              <a:xfrm>
                <a:off x="3948190" y="14386649"/>
                <a:ext cx="45719" cy="129452"/>
              </a:xfrm>
              <a:prstGeom prst="rect">
                <a:avLst/>
              </a:prstGeom>
              <a:solidFill>
                <a:srgbClr val="FFC000"/>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24" name="Rectangle 12423">
                <a:extLst>
                  <a:ext uri="{FF2B5EF4-FFF2-40B4-BE49-F238E27FC236}">
                    <a16:creationId xmlns:a16="http://schemas.microsoft.com/office/drawing/2014/main" id="{00000000-0008-0000-1100-000088300000}"/>
                  </a:ext>
                </a:extLst>
              </xdr:cNvPr>
              <xdr:cNvSpPr/>
            </xdr:nvSpPr>
            <xdr:spPr>
              <a:xfrm>
                <a:off x="3976230" y="14427459"/>
                <a:ext cx="105080" cy="45719"/>
              </a:xfrm>
              <a:prstGeom prst="rect">
                <a:avLst/>
              </a:prstGeom>
              <a:solidFill>
                <a:srgbClr val="FFC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2479" name="Group 12478">
              <a:extLst>
                <a:ext uri="{FF2B5EF4-FFF2-40B4-BE49-F238E27FC236}">
                  <a16:creationId xmlns:a16="http://schemas.microsoft.com/office/drawing/2014/main" id="{00000000-0008-0000-1100-0000BF300000}"/>
                </a:ext>
              </a:extLst>
            </xdr:cNvPr>
            <xdr:cNvGrpSpPr/>
          </xdr:nvGrpSpPr>
          <xdr:grpSpPr>
            <a:xfrm>
              <a:off x="5210175" y="18945225"/>
              <a:ext cx="2838452" cy="1433946"/>
              <a:chOff x="1134341" y="13811250"/>
              <a:chExt cx="2842781" cy="1454052"/>
            </a:xfrm>
          </xdr:grpSpPr>
          <xdr:sp macro="" textlink="">
            <xdr:nvSpPr>
              <xdr:cNvPr id="2" name="Rectangle 1">
                <a:extLst>
                  <a:ext uri="{FF2B5EF4-FFF2-40B4-BE49-F238E27FC236}">
                    <a16:creationId xmlns:a16="http://schemas.microsoft.com/office/drawing/2014/main" id="{00000000-0008-0000-1100-000002000000}"/>
                  </a:ext>
                </a:extLst>
              </xdr:cNvPr>
              <xdr:cNvSpPr/>
            </xdr:nvSpPr>
            <xdr:spPr>
              <a:xfrm>
                <a:off x="1134341" y="13811250"/>
                <a:ext cx="2718954" cy="1451264"/>
              </a:xfrm>
              <a:prstGeom prst="rect">
                <a:avLst/>
              </a:prstGeom>
              <a:solidFill>
                <a:schemeClr val="bg2"/>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1" name="Group 10">
                <a:extLst>
                  <a:ext uri="{FF2B5EF4-FFF2-40B4-BE49-F238E27FC236}">
                    <a16:creationId xmlns:a16="http://schemas.microsoft.com/office/drawing/2014/main" id="{00000000-0008-0000-1100-00000B000000}"/>
                  </a:ext>
                </a:extLst>
              </xdr:cNvPr>
              <xdr:cNvGrpSpPr/>
            </xdr:nvGrpSpPr>
            <xdr:grpSpPr>
              <a:xfrm>
                <a:off x="1437218" y="13823562"/>
                <a:ext cx="2234289" cy="1441740"/>
                <a:chOff x="1435951" y="14011507"/>
                <a:chExt cx="2260679" cy="1463598"/>
              </a:xfrm>
            </xdr:grpSpPr>
            <xdr:sp macro="" textlink="">
              <xdr:nvSpPr>
                <xdr:cNvPr id="12468" name="Rectangle 12467">
                  <a:extLst>
                    <a:ext uri="{FF2B5EF4-FFF2-40B4-BE49-F238E27FC236}">
                      <a16:creationId xmlns:a16="http://schemas.microsoft.com/office/drawing/2014/main" id="{00000000-0008-0000-1100-0000B4300000}"/>
                    </a:ext>
                  </a:extLst>
                </xdr:cNvPr>
                <xdr:cNvSpPr/>
              </xdr:nvSpPr>
              <xdr:spPr>
                <a:xfrm>
                  <a:off x="1875960" y="14011624"/>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9" name="Rectangle 558">
                  <a:extLst>
                    <a:ext uri="{FF2B5EF4-FFF2-40B4-BE49-F238E27FC236}">
                      <a16:creationId xmlns:a16="http://schemas.microsoft.com/office/drawing/2014/main" id="{00000000-0008-0000-1100-00002F020000}"/>
                    </a:ext>
                  </a:extLst>
                </xdr:cNvPr>
                <xdr:cNvSpPr/>
              </xdr:nvSpPr>
              <xdr:spPr>
                <a:xfrm>
                  <a:off x="1435951" y="14013018"/>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0" name="Rectangle 559">
                  <a:extLst>
                    <a:ext uri="{FF2B5EF4-FFF2-40B4-BE49-F238E27FC236}">
                      <a16:creationId xmlns:a16="http://schemas.microsoft.com/office/drawing/2014/main" id="{00000000-0008-0000-1100-000030020000}"/>
                    </a:ext>
                  </a:extLst>
                </xdr:cNvPr>
                <xdr:cNvSpPr/>
              </xdr:nvSpPr>
              <xdr:spPr>
                <a:xfrm>
                  <a:off x="2754351" y="14013018"/>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4" name="Rectangle 563">
                  <a:extLst>
                    <a:ext uri="{FF2B5EF4-FFF2-40B4-BE49-F238E27FC236}">
                      <a16:creationId xmlns:a16="http://schemas.microsoft.com/office/drawing/2014/main" id="{00000000-0008-0000-1100-000034020000}"/>
                    </a:ext>
                  </a:extLst>
                </xdr:cNvPr>
                <xdr:cNvSpPr/>
              </xdr:nvSpPr>
              <xdr:spPr>
                <a:xfrm>
                  <a:off x="2314342" y="14014412"/>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5" name="Rectangle 564">
                  <a:extLst>
                    <a:ext uri="{FF2B5EF4-FFF2-40B4-BE49-F238E27FC236}">
                      <a16:creationId xmlns:a16="http://schemas.microsoft.com/office/drawing/2014/main" id="{00000000-0008-0000-1100-000035020000}"/>
                    </a:ext>
                  </a:extLst>
                </xdr:cNvPr>
                <xdr:cNvSpPr/>
              </xdr:nvSpPr>
              <xdr:spPr>
                <a:xfrm>
                  <a:off x="3635646" y="14011507"/>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7" name="Rectangle 566">
                  <a:extLst>
                    <a:ext uri="{FF2B5EF4-FFF2-40B4-BE49-F238E27FC236}">
                      <a16:creationId xmlns:a16="http://schemas.microsoft.com/office/drawing/2014/main" id="{00000000-0008-0000-1100-000037020000}"/>
                    </a:ext>
                  </a:extLst>
                </xdr:cNvPr>
                <xdr:cNvSpPr/>
              </xdr:nvSpPr>
              <xdr:spPr>
                <a:xfrm>
                  <a:off x="3195637" y="14012901"/>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57" name="Rectangle 556">
                <a:extLst>
                  <a:ext uri="{FF2B5EF4-FFF2-40B4-BE49-F238E27FC236}">
                    <a16:creationId xmlns:a16="http://schemas.microsoft.com/office/drawing/2014/main" id="{00000000-0008-0000-1100-00002D020000}"/>
                  </a:ext>
                </a:extLst>
              </xdr:cNvPr>
              <xdr:cNvSpPr/>
            </xdr:nvSpPr>
            <xdr:spPr>
              <a:xfrm>
                <a:off x="1134342" y="13815570"/>
                <a:ext cx="294186" cy="1444584"/>
              </a:xfrm>
              <a:prstGeom prst="rect">
                <a:avLst/>
              </a:prstGeom>
              <a:solidFill>
                <a:schemeClr val="bg2">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ectangle 24">
                <a:extLst>
                  <a:ext uri="{FF2B5EF4-FFF2-40B4-BE49-F238E27FC236}">
                    <a16:creationId xmlns:a16="http://schemas.microsoft.com/office/drawing/2014/main" id="{00000000-0008-0000-1100-000019000000}"/>
                  </a:ext>
                </a:extLst>
              </xdr:cNvPr>
              <xdr:cNvSpPr/>
            </xdr:nvSpPr>
            <xdr:spPr>
              <a:xfrm>
                <a:off x="3682334" y="13815570"/>
                <a:ext cx="294788" cy="1444584"/>
              </a:xfrm>
              <a:prstGeom prst="rect">
                <a:avLst/>
              </a:prstGeom>
              <a:solidFill>
                <a:schemeClr val="bg2">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xnSp macro="">
          <xdr:nvCxnSpPr>
            <xdr:cNvPr id="12466" name="Straight Connector 12465">
              <a:extLst>
                <a:ext uri="{FF2B5EF4-FFF2-40B4-BE49-F238E27FC236}">
                  <a16:creationId xmlns:a16="http://schemas.microsoft.com/office/drawing/2014/main" id="{00000000-0008-0000-1100-0000B2300000}"/>
                </a:ext>
              </a:extLst>
            </xdr:cNvPr>
            <xdr:cNvCxnSpPr>
              <a:endCxn id="12401" idx="0"/>
            </xdr:cNvCxnSpPr>
          </xdr:nvCxnSpPr>
          <xdr:spPr>
            <a:xfrm>
              <a:off x="5208311" y="18945225"/>
              <a:ext cx="3123684" cy="4762"/>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392" name="Straight Connector 12391">
              <a:extLst>
                <a:ext uri="{FF2B5EF4-FFF2-40B4-BE49-F238E27FC236}">
                  <a16:creationId xmlns:a16="http://schemas.microsoft.com/office/drawing/2014/main" id="{00000000-0008-0000-1100-000068300000}"/>
                </a:ext>
              </a:extLst>
            </xdr:cNvPr>
            <xdr:cNvCxnSpPr/>
          </xdr:nvCxnSpPr>
          <xdr:spPr>
            <a:xfrm flipH="1">
              <a:off x="5205845" y="20364661"/>
              <a:ext cx="2983178" cy="14508"/>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13282" name="Straight Connector 813281">
              <a:extLst>
                <a:ext uri="{FF2B5EF4-FFF2-40B4-BE49-F238E27FC236}">
                  <a16:creationId xmlns:a16="http://schemas.microsoft.com/office/drawing/2014/main" id="{00000000-0008-0000-1100-0000E2680C00}"/>
                </a:ext>
              </a:extLst>
            </xdr:cNvPr>
            <xdr:cNvCxnSpPr/>
          </xdr:nvCxnSpPr>
          <xdr:spPr>
            <a:xfrm flipV="1">
              <a:off x="4768574" y="20406879"/>
              <a:ext cx="454597" cy="1"/>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13289" name="Straight Connector 813288">
              <a:extLst>
                <a:ext uri="{FF2B5EF4-FFF2-40B4-BE49-F238E27FC236}">
                  <a16:creationId xmlns:a16="http://schemas.microsoft.com/office/drawing/2014/main" id="{00000000-0008-0000-1100-0000E9680C00}"/>
                </a:ext>
              </a:extLst>
            </xdr:cNvPr>
            <xdr:cNvCxnSpPr/>
          </xdr:nvCxnSpPr>
          <xdr:spPr>
            <a:xfrm flipV="1">
              <a:off x="5210175" y="20404931"/>
              <a:ext cx="330994" cy="1083"/>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1100-000064020000}"/>
                </a:ext>
              </a:extLst>
            </xdr:cNvPr>
            <xdr:cNvCxnSpPr/>
          </xdr:nvCxnSpPr>
          <xdr:spPr>
            <a:xfrm flipV="1">
              <a:off x="7712869" y="20388696"/>
              <a:ext cx="468241" cy="6710"/>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813293" name="Bent Arrow 813292">
              <a:extLst>
                <a:ext uri="{FF2B5EF4-FFF2-40B4-BE49-F238E27FC236}">
                  <a16:creationId xmlns:a16="http://schemas.microsoft.com/office/drawing/2014/main" id="{00000000-0008-0000-1100-0000ED680C00}"/>
                </a:ext>
              </a:extLst>
            </xdr:cNvPr>
            <xdr:cNvSpPr/>
          </xdr:nvSpPr>
          <xdr:spPr>
            <a:xfrm rot="16200000" flipV="1">
              <a:off x="5630569" y="20295610"/>
              <a:ext cx="205223"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813294" name="Right Arrow 813293">
              <a:extLst>
                <a:ext uri="{FF2B5EF4-FFF2-40B4-BE49-F238E27FC236}">
                  <a16:creationId xmlns:a16="http://schemas.microsoft.com/office/drawing/2014/main" id="{00000000-0008-0000-1100-0000EE680C00}"/>
                </a:ext>
              </a:extLst>
            </xdr:cNvPr>
            <xdr:cNvSpPr/>
          </xdr:nvSpPr>
          <xdr:spPr>
            <a:xfrm>
              <a:off x="4292311" y="20460567"/>
              <a:ext cx="523009" cy="5628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9" name="Bent Arrow 618">
              <a:extLst>
                <a:ext uri="{FF2B5EF4-FFF2-40B4-BE49-F238E27FC236}">
                  <a16:creationId xmlns:a16="http://schemas.microsoft.com/office/drawing/2014/main" id="{00000000-0008-0000-1100-00006B020000}"/>
                </a:ext>
              </a:extLst>
            </xdr:cNvPr>
            <xdr:cNvSpPr/>
          </xdr:nvSpPr>
          <xdr:spPr>
            <a:xfrm rot="16200000" flipV="1">
              <a:off x="6059194" y="20300807"/>
              <a:ext cx="205223"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0" name="Bent Arrow 619">
              <a:extLst>
                <a:ext uri="{FF2B5EF4-FFF2-40B4-BE49-F238E27FC236}">
                  <a16:creationId xmlns:a16="http://schemas.microsoft.com/office/drawing/2014/main" id="{00000000-0008-0000-1100-00006C020000}"/>
                </a:ext>
              </a:extLst>
            </xdr:cNvPr>
            <xdr:cNvSpPr/>
          </xdr:nvSpPr>
          <xdr:spPr>
            <a:xfrm rot="16200000" flipV="1">
              <a:off x="6505137" y="20297341"/>
              <a:ext cx="205223"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1" name="Bent Arrow 620">
              <a:extLst>
                <a:ext uri="{FF2B5EF4-FFF2-40B4-BE49-F238E27FC236}">
                  <a16:creationId xmlns:a16="http://schemas.microsoft.com/office/drawing/2014/main" id="{00000000-0008-0000-1100-00006D020000}"/>
                </a:ext>
              </a:extLst>
            </xdr:cNvPr>
            <xdr:cNvSpPr/>
          </xdr:nvSpPr>
          <xdr:spPr>
            <a:xfrm rot="16200000" flipV="1">
              <a:off x="6938091" y="20288684"/>
              <a:ext cx="206955"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2" name="Bent Arrow 621">
              <a:extLst>
                <a:ext uri="{FF2B5EF4-FFF2-40B4-BE49-F238E27FC236}">
                  <a16:creationId xmlns:a16="http://schemas.microsoft.com/office/drawing/2014/main" id="{00000000-0008-0000-1100-00006E020000}"/>
                </a:ext>
              </a:extLst>
            </xdr:cNvPr>
            <xdr:cNvSpPr/>
          </xdr:nvSpPr>
          <xdr:spPr>
            <a:xfrm rot="16200000" flipV="1">
              <a:off x="7375375" y="20289549"/>
              <a:ext cx="206955"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3" name="Bent Arrow 622">
              <a:extLst>
                <a:ext uri="{FF2B5EF4-FFF2-40B4-BE49-F238E27FC236}">
                  <a16:creationId xmlns:a16="http://schemas.microsoft.com/office/drawing/2014/main" id="{00000000-0008-0000-1100-00006F020000}"/>
                </a:ext>
              </a:extLst>
            </xdr:cNvPr>
            <xdr:cNvSpPr/>
          </xdr:nvSpPr>
          <xdr:spPr>
            <a:xfrm>
              <a:off x="5740539" y="18856901"/>
              <a:ext cx="202626"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4" name="Bent Arrow 623">
              <a:extLst>
                <a:ext uri="{FF2B5EF4-FFF2-40B4-BE49-F238E27FC236}">
                  <a16:creationId xmlns:a16="http://schemas.microsoft.com/office/drawing/2014/main" id="{00000000-0008-0000-1100-000070020000}"/>
                </a:ext>
              </a:extLst>
            </xdr:cNvPr>
            <xdr:cNvSpPr/>
          </xdr:nvSpPr>
          <xdr:spPr>
            <a:xfrm>
              <a:off x="6182153" y="18853437"/>
              <a:ext cx="203492"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5" name="Bent Arrow 624">
              <a:extLst>
                <a:ext uri="{FF2B5EF4-FFF2-40B4-BE49-F238E27FC236}">
                  <a16:creationId xmlns:a16="http://schemas.microsoft.com/office/drawing/2014/main" id="{00000000-0008-0000-1100-000071020000}"/>
                </a:ext>
              </a:extLst>
            </xdr:cNvPr>
            <xdr:cNvSpPr/>
          </xdr:nvSpPr>
          <xdr:spPr>
            <a:xfrm>
              <a:off x="6610777" y="18858632"/>
              <a:ext cx="203492"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6" name="Bent Arrow 625">
              <a:extLst>
                <a:ext uri="{FF2B5EF4-FFF2-40B4-BE49-F238E27FC236}">
                  <a16:creationId xmlns:a16="http://schemas.microsoft.com/office/drawing/2014/main" id="{00000000-0008-0000-1100-000072020000}"/>
                </a:ext>
              </a:extLst>
            </xdr:cNvPr>
            <xdr:cNvSpPr/>
          </xdr:nvSpPr>
          <xdr:spPr>
            <a:xfrm>
              <a:off x="7057587" y="18859498"/>
              <a:ext cx="202626"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7" name="Bent Arrow 626">
              <a:extLst>
                <a:ext uri="{FF2B5EF4-FFF2-40B4-BE49-F238E27FC236}">
                  <a16:creationId xmlns:a16="http://schemas.microsoft.com/office/drawing/2014/main" id="{00000000-0008-0000-1100-000073020000}"/>
                </a:ext>
              </a:extLst>
            </xdr:cNvPr>
            <xdr:cNvSpPr/>
          </xdr:nvSpPr>
          <xdr:spPr>
            <a:xfrm>
              <a:off x="7486212" y="18856035"/>
              <a:ext cx="203492"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8" name="Right Arrow 627">
              <a:extLst>
                <a:ext uri="{FF2B5EF4-FFF2-40B4-BE49-F238E27FC236}">
                  <a16:creationId xmlns:a16="http://schemas.microsoft.com/office/drawing/2014/main" id="{00000000-0008-0000-1100-000074020000}"/>
                </a:ext>
              </a:extLst>
            </xdr:cNvPr>
            <xdr:cNvSpPr/>
          </xdr:nvSpPr>
          <xdr:spPr>
            <a:xfrm rot="21093410">
              <a:off x="8396721" y="18784163"/>
              <a:ext cx="523875" cy="5628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0" name="AutoShape 1270">
              <a:extLst>
                <a:ext uri="{FF2B5EF4-FFF2-40B4-BE49-F238E27FC236}">
                  <a16:creationId xmlns:a16="http://schemas.microsoft.com/office/drawing/2014/main" id="{00000000-0008-0000-1100-000076020000}"/>
                </a:ext>
              </a:extLst>
            </xdr:cNvPr>
            <xdr:cNvSpPr>
              <a:spLocks/>
            </xdr:cNvSpPr>
          </xdr:nvSpPr>
          <xdr:spPr bwMode="auto">
            <a:xfrm>
              <a:off x="3952875" y="17535525"/>
              <a:ext cx="1905000" cy="981075"/>
            </a:xfrm>
            <a:prstGeom prst="accentCallout1">
              <a:avLst>
                <a:gd name="adj1" fmla="val 11653"/>
                <a:gd name="adj2" fmla="val 104444"/>
                <a:gd name="adj3" fmla="val 173785"/>
                <a:gd name="adj4" fmla="val 141556"/>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Air Flow Passages between Cells</a:t>
              </a:r>
            </a:p>
          </xdr:txBody>
        </xdr:sp>
        <xdr:cxnSp macro="">
          <xdr:nvCxnSpPr>
            <xdr:cNvPr id="813297" name="Straight Connector 813296">
              <a:extLst>
                <a:ext uri="{FF2B5EF4-FFF2-40B4-BE49-F238E27FC236}">
                  <a16:creationId xmlns:a16="http://schemas.microsoft.com/office/drawing/2014/main" id="{00000000-0008-0000-1100-0000F1680C00}"/>
                </a:ext>
              </a:extLst>
            </xdr:cNvPr>
            <xdr:cNvCxnSpPr/>
          </xdr:nvCxnSpPr>
          <xdr:spPr>
            <a:xfrm>
              <a:off x="5934075" y="17640300"/>
              <a:ext cx="1162050" cy="1524000"/>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633" name="AutoShape 1270">
              <a:extLst>
                <a:ext uri="{FF2B5EF4-FFF2-40B4-BE49-F238E27FC236}">
                  <a16:creationId xmlns:a16="http://schemas.microsoft.com/office/drawing/2014/main" id="{00000000-0008-0000-1100-000079020000}"/>
                </a:ext>
              </a:extLst>
            </xdr:cNvPr>
            <xdr:cNvSpPr>
              <a:spLocks/>
            </xdr:cNvSpPr>
          </xdr:nvSpPr>
          <xdr:spPr bwMode="auto">
            <a:xfrm>
              <a:off x="6838951" y="17268825"/>
              <a:ext cx="1371599" cy="695325"/>
            </a:xfrm>
            <a:prstGeom prst="accentCallout1">
              <a:avLst>
                <a:gd name="adj1" fmla="val 32042"/>
                <a:gd name="adj2" fmla="val 88055"/>
                <a:gd name="adj3" fmla="val 160911"/>
                <a:gd name="adj4" fmla="val 189166"/>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Duct to Fan Inlet</a:t>
              </a:r>
            </a:p>
          </xdr:txBody>
        </xdr:sp>
      </xdr:grpSp>
      <xdr:cxnSp macro="">
        <xdr:nvCxnSpPr>
          <xdr:cNvPr id="137701" name="Straight Connector 137700">
            <a:extLst>
              <a:ext uri="{FF2B5EF4-FFF2-40B4-BE49-F238E27FC236}">
                <a16:creationId xmlns:a16="http://schemas.microsoft.com/office/drawing/2014/main" id="{00000000-0008-0000-1100-0000E5190200}"/>
              </a:ext>
            </a:extLst>
          </xdr:cNvPr>
          <xdr:cNvCxnSpPr/>
        </xdr:nvCxnSpPr>
        <xdr:spPr>
          <a:xfrm flipV="1">
            <a:off x="5362575" y="16563975"/>
            <a:ext cx="685800" cy="1676400"/>
          </a:xfrm>
          <a:prstGeom prst="line">
            <a:avLst/>
          </a:prstGeom>
          <a:ln w="19050"/>
        </xdr:spPr>
        <xdr:style>
          <a:lnRef idx="1">
            <a:schemeClr val="dk1"/>
          </a:lnRef>
          <a:fillRef idx="0">
            <a:schemeClr val="dk1"/>
          </a:fillRef>
          <a:effectRef idx="0">
            <a:schemeClr val="dk1"/>
          </a:effectRef>
          <a:fontRef idx="minor">
            <a:schemeClr val="tx1"/>
          </a:fontRef>
        </xdr:style>
      </xdr:cxnSp>
    </xdr:grpSp>
    <xdr:clientData/>
  </xdr:twoCellAnchor>
  <xdr:twoCellAnchor>
    <xdr:from>
      <xdr:col>0</xdr:col>
      <xdr:colOff>180975</xdr:colOff>
      <xdr:row>1</xdr:row>
      <xdr:rowOff>152400</xdr:rowOff>
    </xdr:from>
    <xdr:to>
      <xdr:col>15</xdr:col>
      <xdr:colOff>447675</xdr:colOff>
      <xdr:row>74</xdr:row>
      <xdr:rowOff>76200</xdr:rowOff>
    </xdr:to>
    <xdr:grpSp>
      <xdr:nvGrpSpPr>
        <xdr:cNvPr id="22" name="Group 21">
          <a:extLst>
            <a:ext uri="{FF2B5EF4-FFF2-40B4-BE49-F238E27FC236}">
              <a16:creationId xmlns:a16="http://schemas.microsoft.com/office/drawing/2014/main" id="{00000000-0008-0000-1100-000016000000}"/>
            </a:ext>
          </a:extLst>
        </xdr:cNvPr>
        <xdr:cNvGrpSpPr/>
      </xdr:nvGrpSpPr>
      <xdr:grpSpPr>
        <a:xfrm>
          <a:off x="180975" y="508000"/>
          <a:ext cx="10363200" cy="12103100"/>
          <a:chOff x="180975" y="506535"/>
          <a:chExt cx="9425354" cy="11646877"/>
        </a:xfrm>
      </xdr:grpSpPr>
      <xdr:sp macro="" textlink="">
        <xdr:nvSpPr>
          <xdr:cNvPr id="137488" name="Text Box 1296">
            <a:extLst>
              <a:ext uri="{FF2B5EF4-FFF2-40B4-BE49-F238E27FC236}">
                <a16:creationId xmlns:a16="http://schemas.microsoft.com/office/drawing/2014/main" id="{00000000-0008-0000-1100-000010190200}"/>
              </a:ext>
            </a:extLst>
          </xdr:cNvPr>
          <xdr:cNvSpPr txBox="1">
            <a:spLocks noChangeArrowheads="1"/>
          </xdr:cNvSpPr>
        </xdr:nvSpPr>
        <xdr:spPr bwMode="auto">
          <a:xfrm>
            <a:off x="2766157" y="8781562"/>
            <a:ext cx="4988169"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400" b="1" i="0" u="none" strike="noStrike" baseline="0">
                <a:solidFill>
                  <a:srgbClr val="000000"/>
                </a:solidFill>
                <a:latin typeface="Arial"/>
                <a:cs typeface="Arial"/>
              </a:rPr>
              <a:t>Pack with Two Rows of Modules</a:t>
            </a:r>
          </a:p>
        </xdr:txBody>
      </xdr:sp>
      <xdr:sp macro="" textlink="">
        <xdr:nvSpPr>
          <xdr:cNvPr id="137698" name="Text Box 1506">
            <a:extLst>
              <a:ext uri="{FF2B5EF4-FFF2-40B4-BE49-F238E27FC236}">
                <a16:creationId xmlns:a16="http://schemas.microsoft.com/office/drawing/2014/main" id="{00000000-0008-0000-1100-0000E2190200}"/>
              </a:ext>
            </a:extLst>
          </xdr:cNvPr>
          <xdr:cNvSpPr txBox="1">
            <a:spLocks noChangeArrowheads="1"/>
          </xdr:cNvSpPr>
        </xdr:nvSpPr>
        <xdr:spPr bwMode="auto">
          <a:xfrm>
            <a:off x="2709008" y="11769237"/>
            <a:ext cx="4760790"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400" b="1" i="0" u="none" strike="noStrike" baseline="0">
                <a:solidFill>
                  <a:srgbClr val="000000"/>
                </a:solidFill>
                <a:latin typeface="Arial"/>
                <a:cs typeface="Arial"/>
              </a:rPr>
              <a:t>Pack with One Row of Modules</a:t>
            </a:r>
          </a:p>
        </xdr:txBody>
      </xdr:sp>
      <xdr:sp macro="" textlink="">
        <xdr:nvSpPr>
          <xdr:cNvPr id="137700" name="Text Box 1508">
            <a:extLst>
              <a:ext uri="{FF2B5EF4-FFF2-40B4-BE49-F238E27FC236}">
                <a16:creationId xmlns:a16="http://schemas.microsoft.com/office/drawing/2014/main" id="{00000000-0008-0000-1100-0000E4190200}"/>
              </a:ext>
            </a:extLst>
          </xdr:cNvPr>
          <xdr:cNvSpPr txBox="1">
            <a:spLocks noChangeArrowheads="1"/>
          </xdr:cNvSpPr>
        </xdr:nvSpPr>
        <xdr:spPr bwMode="auto">
          <a:xfrm>
            <a:off x="6057167" y="11143762"/>
            <a:ext cx="1975583"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B-B</a:t>
            </a:r>
          </a:p>
        </xdr:txBody>
      </xdr:sp>
      <xdr:sp macro="" textlink="">
        <xdr:nvSpPr>
          <xdr:cNvPr id="649" name="Text Box 1507">
            <a:extLst>
              <a:ext uri="{FF2B5EF4-FFF2-40B4-BE49-F238E27FC236}">
                <a16:creationId xmlns:a16="http://schemas.microsoft.com/office/drawing/2014/main" id="{00000000-0008-0000-1100-000089020000}"/>
              </a:ext>
            </a:extLst>
          </xdr:cNvPr>
          <xdr:cNvSpPr txBox="1">
            <a:spLocks noChangeArrowheads="1"/>
          </xdr:cNvSpPr>
        </xdr:nvSpPr>
        <xdr:spPr bwMode="auto">
          <a:xfrm>
            <a:off x="874102" y="11185037"/>
            <a:ext cx="1974606"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A-A</a:t>
            </a:r>
          </a:p>
        </xdr:txBody>
      </xdr:sp>
      <xdr:grpSp>
        <xdr:nvGrpSpPr>
          <xdr:cNvPr id="12" name="Group 11">
            <a:extLst>
              <a:ext uri="{FF2B5EF4-FFF2-40B4-BE49-F238E27FC236}">
                <a16:creationId xmlns:a16="http://schemas.microsoft.com/office/drawing/2014/main" id="{00000000-0008-0000-1100-00000C000000}"/>
              </a:ext>
            </a:extLst>
          </xdr:cNvPr>
          <xdr:cNvGrpSpPr/>
        </xdr:nvGrpSpPr>
        <xdr:grpSpPr>
          <a:xfrm>
            <a:off x="180975" y="506535"/>
            <a:ext cx="9415829" cy="8043252"/>
            <a:chOff x="180975" y="506535"/>
            <a:chExt cx="9415829" cy="8043252"/>
          </a:xfrm>
        </xdr:grpSpPr>
        <xdr:sp macro="" textlink="">
          <xdr:nvSpPr>
            <xdr:cNvPr id="12290" name="Freeform 1026">
              <a:extLst>
                <a:ext uri="{FF2B5EF4-FFF2-40B4-BE49-F238E27FC236}">
                  <a16:creationId xmlns:a16="http://schemas.microsoft.com/office/drawing/2014/main" id="{00000000-0008-0000-1100-000002300000}"/>
                </a:ext>
              </a:extLst>
            </xdr:cNvPr>
            <xdr:cNvSpPr>
              <a:spLocks/>
            </xdr:cNvSpPr>
          </xdr:nvSpPr>
          <xdr:spPr bwMode="auto">
            <a:xfrm>
              <a:off x="5189415" y="2041037"/>
              <a:ext cx="3692037" cy="3660775"/>
            </a:xfrm>
            <a:custGeom>
              <a:avLst/>
              <a:gdLst>
                <a:gd name="T0" fmla="*/ 2147483647 w 387"/>
                <a:gd name="T1" fmla="*/ 2147483647 h 392"/>
                <a:gd name="T2" fmla="*/ 2147483647 w 387"/>
                <a:gd name="T3" fmla="*/ 0 h 392"/>
                <a:gd name="T4" fmla="*/ 2147483647 w 387"/>
                <a:gd name="T5" fmla="*/ 2147483647 h 392"/>
                <a:gd name="T6" fmla="*/ 2147483647 w 387"/>
                <a:gd name="T7" fmla="*/ 2147483647 h 392"/>
                <a:gd name="T8" fmla="*/ 2147483647 w 387"/>
                <a:gd name="T9" fmla="*/ 2147483647 h 392"/>
                <a:gd name="T10" fmla="*/ 2147483647 w 387"/>
                <a:gd name="T11" fmla="*/ 2147483647 h 392"/>
                <a:gd name="T12" fmla="*/ 2147483647 w 387"/>
                <a:gd name="T13" fmla="*/ 2147483647 h 392"/>
                <a:gd name="T14" fmla="*/ 2147483647 w 387"/>
                <a:gd name="T15" fmla="*/ 2147483647 h 392"/>
                <a:gd name="T16" fmla="*/ 2147483647 w 387"/>
                <a:gd name="T17" fmla="*/ 2147483647 h 392"/>
                <a:gd name="T18" fmla="*/ 2147483647 w 387"/>
                <a:gd name="T19" fmla="*/ 2147483647 h 392"/>
                <a:gd name="T20" fmla="*/ 0 w 387"/>
                <a:gd name="T21" fmla="*/ 2147483647 h 392"/>
                <a:gd name="T22" fmla="*/ 2147483647 w 387"/>
                <a:gd name="T23" fmla="*/ 2147483647 h 392"/>
                <a:gd name="T24" fmla="*/ 2147483647 w 387"/>
                <a:gd name="T25" fmla="*/ 2147483647 h 392"/>
                <a:gd name="T26" fmla="*/ 2147483647 w 387"/>
                <a:gd name="T27" fmla="*/ 2147483647 h 392"/>
                <a:gd name="T28" fmla="*/ 2147483647 w 387"/>
                <a:gd name="T29" fmla="*/ 2147483647 h 39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87"/>
                <a:gd name="T46" fmla="*/ 0 h 392"/>
                <a:gd name="T47" fmla="*/ 387 w 387"/>
                <a:gd name="T48" fmla="*/ 392 h 39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87" h="392">
                  <a:moveTo>
                    <a:pt x="3" y="193"/>
                  </a:moveTo>
                  <a:lnTo>
                    <a:pt x="371" y="0"/>
                  </a:lnTo>
                  <a:lnTo>
                    <a:pt x="383" y="22"/>
                  </a:lnTo>
                  <a:lnTo>
                    <a:pt x="381" y="14"/>
                  </a:lnTo>
                  <a:lnTo>
                    <a:pt x="376" y="6"/>
                  </a:lnTo>
                  <a:cubicBezTo>
                    <a:pt x="378" y="7"/>
                    <a:pt x="383" y="4"/>
                    <a:pt x="385" y="29"/>
                  </a:cubicBezTo>
                  <a:cubicBezTo>
                    <a:pt x="387" y="53"/>
                    <a:pt x="386" y="130"/>
                    <a:pt x="386" y="151"/>
                  </a:cubicBezTo>
                  <a:lnTo>
                    <a:pt x="385" y="157"/>
                  </a:lnTo>
                  <a:lnTo>
                    <a:pt x="383" y="161"/>
                  </a:lnTo>
                  <a:lnTo>
                    <a:pt x="379" y="164"/>
                  </a:lnTo>
                  <a:lnTo>
                    <a:pt x="0" y="392"/>
                  </a:lnTo>
                  <a:lnTo>
                    <a:pt x="3" y="388"/>
                  </a:lnTo>
                  <a:lnTo>
                    <a:pt x="4" y="203"/>
                  </a:lnTo>
                  <a:lnTo>
                    <a:pt x="5" y="199"/>
                  </a:lnTo>
                  <a:lnTo>
                    <a:pt x="3" y="193"/>
                  </a:lnTo>
                  <a:close/>
                </a:path>
              </a:pathLst>
            </a:custGeom>
            <a:gradFill rotWithShape="1">
              <a:gsLst>
                <a:gs pos="0">
                  <a:srgbClr val="CCFFCC"/>
                </a:gs>
                <a:gs pos="100000">
                  <a:srgbClr val="99FFCC"/>
                </a:gs>
              </a:gsLst>
              <a:path path="rect">
                <a:fillToRect l="50000" t="50000" r="50000" b="50000"/>
              </a:path>
            </a:gradFill>
            <a:ln w="19050" cmpd="sng">
              <a:solidFill>
                <a:srgbClr val="000000"/>
              </a:solidFill>
              <a:round/>
              <a:headEnd/>
              <a:tailEnd/>
            </a:ln>
          </xdr:spPr>
        </xdr:sp>
        <xdr:sp macro="" textlink="">
          <xdr:nvSpPr>
            <xdr:cNvPr id="12291" name="Freeform 1027">
              <a:extLst>
                <a:ext uri="{FF2B5EF4-FFF2-40B4-BE49-F238E27FC236}">
                  <a16:creationId xmlns:a16="http://schemas.microsoft.com/office/drawing/2014/main" id="{00000000-0008-0000-1100-000003300000}"/>
                </a:ext>
              </a:extLst>
            </xdr:cNvPr>
            <xdr:cNvSpPr>
              <a:spLocks/>
            </xdr:cNvSpPr>
          </xdr:nvSpPr>
          <xdr:spPr bwMode="auto">
            <a:xfrm>
              <a:off x="2193420" y="809224"/>
              <a:ext cx="6659196" cy="3486150"/>
            </a:xfrm>
            <a:custGeom>
              <a:avLst/>
              <a:gdLst>
                <a:gd name="T0" fmla="*/ 2147483647 w 698"/>
                <a:gd name="T1" fmla="*/ 2147483647 h 373"/>
                <a:gd name="T2" fmla="*/ 2147483647 w 698"/>
                <a:gd name="T3" fmla="*/ 2147483647 h 373"/>
                <a:gd name="T4" fmla="*/ 2147483647 w 698"/>
                <a:gd name="T5" fmla="*/ 2147483647 h 373"/>
                <a:gd name="T6" fmla="*/ 2147483647 w 698"/>
                <a:gd name="T7" fmla="*/ 2147483647 h 373"/>
                <a:gd name="T8" fmla="*/ 0 w 698"/>
                <a:gd name="T9" fmla="*/ 2147483647 h 373"/>
                <a:gd name="T10" fmla="*/ 2147483647 w 698"/>
                <a:gd name="T11" fmla="*/ 2147483647 h 373"/>
                <a:gd name="T12" fmla="*/ 2147483647 w 698"/>
                <a:gd name="T13" fmla="*/ 0 h 373"/>
                <a:gd name="T14" fmla="*/ 2147483647 w 698"/>
                <a:gd name="T15" fmla="*/ 2147483647 h 373"/>
                <a:gd name="T16" fmla="*/ 2147483647 w 698"/>
                <a:gd name="T17" fmla="*/ 2147483647 h 373"/>
                <a:gd name="T18" fmla="*/ 2147483647 w 698"/>
                <a:gd name="T19" fmla="*/ 2147483647 h 373"/>
                <a:gd name="T20" fmla="*/ 2147483647 w 698"/>
                <a:gd name="T21" fmla="*/ 2147483647 h 373"/>
                <a:gd name="T22" fmla="*/ 2147483647 w 698"/>
                <a:gd name="T23" fmla="*/ 2147483647 h 373"/>
                <a:gd name="T24" fmla="*/ 2147483647 w 698"/>
                <a:gd name="T25" fmla="*/ 2147483647 h 373"/>
                <a:gd name="T26" fmla="*/ 2147483647 w 698"/>
                <a:gd name="T27" fmla="*/ 2147483647 h 373"/>
                <a:gd name="T28" fmla="*/ 2147483647 w 698"/>
                <a:gd name="T29" fmla="*/ 2147483647 h 37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98"/>
                <a:gd name="T46" fmla="*/ 0 h 373"/>
                <a:gd name="T47" fmla="*/ 698 w 698"/>
                <a:gd name="T48" fmla="*/ 373 h 37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98" h="373">
                  <a:moveTo>
                    <a:pt x="315" y="360"/>
                  </a:moveTo>
                  <a:lnTo>
                    <a:pt x="307" y="352"/>
                  </a:lnTo>
                  <a:lnTo>
                    <a:pt x="14" y="198"/>
                  </a:lnTo>
                  <a:lnTo>
                    <a:pt x="8" y="196"/>
                  </a:lnTo>
                  <a:lnTo>
                    <a:pt x="0" y="196"/>
                  </a:lnTo>
                  <a:lnTo>
                    <a:pt x="374" y="2"/>
                  </a:lnTo>
                  <a:lnTo>
                    <a:pt x="383" y="0"/>
                  </a:lnTo>
                  <a:lnTo>
                    <a:pt x="394" y="3"/>
                  </a:lnTo>
                  <a:lnTo>
                    <a:pt x="686" y="133"/>
                  </a:lnTo>
                  <a:lnTo>
                    <a:pt x="693" y="140"/>
                  </a:lnTo>
                  <a:lnTo>
                    <a:pt x="697" y="152"/>
                  </a:lnTo>
                  <a:lnTo>
                    <a:pt x="695" y="146"/>
                  </a:lnTo>
                  <a:lnTo>
                    <a:pt x="698" y="157"/>
                  </a:lnTo>
                  <a:lnTo>
                    <a:pt x="318" y="373"/>
                  </a:lnTo>
                  <a:lnTo>
                    <a:pt x="315" y="360"/>
                  </a:lnTo>
                  <a:close/>
                </a:path>
              </a:pathLst>
            </a:custGeom>
            <a:gradFill rotWithShape="1">
              <a:gsLst>
                <a:gs pos="0">
                  <a:srgbClr val="CCFFCC"/>
                </a:gs>
                <a:gs pos="50000">
                  <a:srgbClr val="69FFFF"/>
                </a:gs>
                <a:gs pos="100000">
                  <a:srgbClr val="CCFFCC"/>
                </a:gs>
              </a:gsLst>
              <a:lin ang="2700000" scaled="1"/>
            </a:gradFill>
            <a:ln w="19050" cmpd="sng">
              <a:solidFill>
                <a:srgbClr val="000000"/>
              </a:solidFill>
              <a:round/>
              <a:headEnd/>
              <a:tailEnd/>
            </a:ln>
          </xdr:spPr>
        </xdr:sp>
        <xdr:sp macro="" textlink="">
          <xdr:nvSpPr>
            <xdr:cNvPr id="12292" name="Freeform 1028">
              <a:extLst>
                <a:ext uri="{FF2B5EF4-FFF2-40B4-BE49-F238E27FC236}">
                  <a16:creationId xmlns:a16="http://schemas.microsoft.com/office/drawing/2014/main" id="{00000000-0008-0000-1100-000004300000}"/>
                </a:ext>
              </a:extLst>
            </xdr:cNvPr>
            <xdr:cNvSpPr>
              <a:spLocks/>
            </xdr:cNvSpPr>
          </xdr:nvSpPr>
          <xdr:spPr bwMode="auto">
            <a:xfrm>
              <a:off x="2174631" y="2637937"/>
              <a:ext cx="3052884" cy="3108325"/>
            </a:xfrm>
            <a:custGeom>
              <a:avLst/>
              <a:gdLst>
                <a:gd name="T0" fmla="*/ 2147483647 w 320"/>
                <a:gd name="T1" fmla="*/ 2147483647 h 333"/>
                <a:gd name="T2" fmla="*/ 2147483647 w 320"/>
                <a:gd name="T3" fmla="*/ 2147483647 h 333"/>
                <a:gd name="T4" fmla="*/ 2147483647 w 320"/>
                <a:gd name="T5" fmla="*/ 2147483647 h 333"/>
                <a:gd name="T6" fmla="*/ 2147483647 w 320"/>
                <a:gd name="T7" fmla="*/ 2147483647 h 333"/>
                <a:gd name="T8" fmla="*/ 2147483647 w 320"/>
                <a:gd name="T9" fmla="*/ 2147483647 h 333"/>
                <a:gd name="T10" fmla="*/ 2147483647 w 320"/>
                <a:gd name="T11" fmla="*/ 2147483647 h 333"/>
                <a:gd name="T12" fmla="*/ 2147483647 w 320"/>
                <a:gd name="T13" fmla="*/ 2147483647 h 333"/>
                <a:gd name="T14" fmla="*/ 2147483647 w 320"/>
                <a:gd name="T15" fmla="*/ 2147483647 h 333"/>
                <a:gd name="T16" fmla="*/ 0 w 320"/>
                <a:gd name="T17" fmla="*/ 2147483647 h 333"/>
                <a:gd name="T18" fmla="*/ 0 w 320"/>
                <a:gd name="T19" fmla="*/ 2147483647 h 333"/>
                <a:gd name="T20" fmla="*/ 0 w 320"/>
                <a:gd name="T21" fmla="*/ 2147483647 h 333"/>
                <a:gd name="T22" fmla="*/ 2147483647 w 320"/>
                <a:gd name="T23" fmla="*/ 2147483647 h 333"/>
                <a:gd name="T24" fmla="*/ 2147483647 w 320"/>
                <a:gd name="T25" fmla="*/ 0 h 333"/>
                <a:gd name="T26" fmla="*/ 2147483647 w 320"/>
                <a:gd name="T27" fmla="*/ 2147483647 h 333"/>
                <a:gd name="T28" fmla="*/ 2147483647 w 320"/>
                <a:gd name="T29" fmla="*/ 2147483647 h 333"/>
                <a:gd name="T30" fmla="*/ 2147483647 w 320"/>
                <a:gd name="T31" fmla="*/ 2147483647 h 333"/>
                <a:gd name="T32" fmla="*/ 2147483647 w 320"/>
                <a:gd name="T33" fmla="*/ 2147483647 h 333"/>
                <a:gd name="T34" fmla="*/ 2147483647 w 320"/>
                <a:gd name="T35" fmla="*/ 2147483647 h 333"/>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320"/>
                <a:gd name="T55" fmla="*/ 0 h 333"/>
                <a:gd name="T56" fmla="*/ 320 w 320"/>
                <a:gd name="T57" fmla="*/ 333 h 333"/>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320" h="333">
                  <a:moveTo>
                    <a:pt x="320" y="181"/>
                  </a:moveTo>
                  <a:lnTo>
                    <a:pt x="320" y="323"/>
                  </a:lnTo>
                  <a:lnTo>
                    <a:pt x="314" y="330"/>
                  </a:lnTo>
                  <a:lnTo>
                    <a:pt x="308" y="333"/>
                  </a:lnTo>
                  <a:lnTo>
                    <a:pt x="299" y="329"/>
                  </a:lnTo>
                  <a:lnTo>
                    <a:pt x="9" y="163"/>
                  </a:lnTo>
                  <a:lnTo>
                    <a:pt x="4" y="158"/>
                  </a:lnTo>
                  <a:lnTo>
                    <a:pt x="1" y="151"/>
                  </a:lnTo>
                  <a:lnTo>
                    <a:pt x="0" y="145"/>
                  </a:lnTo>
                  <a:lnTo>
                    <a:pt x="0" y="12"/>
                  </a:lnTo>
                  <a:lnTo>
                    <a:pt x="0" y="6"/>
                  </a:lnTo>
                  <a:lnTo>
                    <a:pt x="3" y="1"/>
                  </a:lnTo>
                  <a:lnTo>
                    <a:pt x="9" y="0"/>
                  </a:lnTo>
                  <a:lnTo>
                    <a:pt x="16" y="1"/>
                  </a:lnTo>
                  <a:lnTo>
                    <a:pt x="308" y="155"/>
                  </a:lnTo>
                  <a:lnTo>
                    <a:pt x="315" y="163"/>
                  </a:lnTo>
                  <a:lnTo>
                    <a:pt x="319" y="171"/>
                  </a:lnTo>
                  <a:lnTo>
                    <a:pt x="320" y="181"/>
                  </a:lnTo>
                  <a:close/>
                </a:path>
              </a:pathLst>
            </a:custGeom>
            <a:gradFill rotWithShape="1">
              <a:gsLst>
                <a:gs pos="0">
                  <a:srgbClr val="69FFFF"/>
                </a:gs>
                <a:gs pos="100000">
                  <a:srgbClr val="CCFFCC"/>
                </a:gs>
              </a:gsLst>
              <a:lin ang="18900000" scaled="1"/>
            </a:gradFill>
            <a:ln w="19050" cmpd="sng">
              <a:solidFill>
                <a:srgbClr val="000000"/>
              </a:solidFill>
              <a:round/>
              <a:headEnd/>
              <a:tailEnd/>
            </a:ln>
          </xdr:spPr>
        </xdr:sp>
        <xdr:sp macro="" textlink="">
          <xdr:nvSpPr>
            <xdr:cNvPr id="12293" name="Freeform 1029">
              <a:extLst>
                <a:ext uri="{FF2B5EF4-FFF2-40B4-BE49-F238E27FC236}">
                  <a16:creationId xmlns:a16="http://schemas.microsoft.com/office/drawing/2014/main" id="{00000000-0008-0000-1100-000005300000}"/>
                </a:ext>
              </a:extLst>
            </xdr:cNvPr>
            <xdr:cNvSpPr>
              <a:spLocks/>
            </xdr:cNvSpPr>
          </xdr:nvSpPr>
          <xdr:spPr bwMode="auto">
            <a:xfrm>
              <a:off x="5141790" y="2069612"/>
              <a:ext cx="3711087" cy="2257425"/>
            </a:xfrm>
            <a:custGeom>
              <a:avLst/>
              <a:gdLst>
                <a:gd name="T0" fmla="*/ 2147483647 w 389"/>
                <a:gd name="T1" fmla="*/ 2147483647 h 242"/>
                <a:gd name="T2" fmla="*/ 2147483647 w 389"/>
                <a:gd name="T3" fmla="*/ 2147483647 h 242"/>
                <a:gd name="T4" fmla="*/ 0 w 389"/>
                <a:gd name="T5" fmla="*/ 2147483647 h 242"/>
                <a:gd name="T6" fmla="*/ 2147483647 w 389"/>
                <a:gd name="T7" fmla="*/ 0 h 242"/>
                <a:gd name="T8" fmla="*/ 2147483647 w 389"/>
                <a:gd name="T9" fmla="*/ 2147483647 h 242"/>
                <a:gd name="T10" fmla="*/ 2147483647 w 389"/>
                <a:gd name="T11" fmla="*/ 2147483647 h 242"/>
                <a:gd name="T12" fmla="*/ 2147483647 w 389"/>
                <a:gd name="T13" fmla="*/ 2147483647 h 242"/>
                <a:gd name="T14" fmla="*/ 0 60000 65536"/>
                <a:gd name="T15" fmla="*/ 0 60000 65536"/>
                <a:gd name="T16" fmla="*/ 0 60000 65536"/>
                <a:gd name="T17" fmla="*/ 0 60000 65536"/>
                <a:gd name="T18" fmla="*/ 0 60000 65536"/>
                <a:gd name="T19" fmla="*/ 0 60000 65536"/>
                <a:gd name="T20" fmla="*/ 0 60000 65536"/>
                <a:gd name="T21" fmla="*/ 0 w 389"/>
                <a:gd name="T22" fmla="*/ 0 h 242"/>
                <a:gd name="T23" fmla="*/ 389 w 389"/>
                <a:gd name="T24" fmla="*/ 242 h 2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9" h="242">
                  <a:moveTo>
                    <a:pt x="11" y="242"/>
                  </a:moveTo>
                  <a:lnTo>
                    <a:pt x="8" y="225"/>
                  </a:lnTo>
                  <a:lnTo>
                    <a:pt x="0" y="216"/>
                  </a:lnTo>
                  <a:lnTo>
                    <a:pt x="378" y="0"/>
                  </a:lnTo>
                  <a:lnTo>
                    <a:pt x="387" y="11"/>
                  </a:lnTo>
                  <a:lnTo>
                    <a:pt x="389" y="25"/>
                  </a:lnTo>
                  <a:lnTo>
                    <a:pt x="11" y="242"/>
                  </a:lnTo>
                  <a:close/>
                </a:path>
              </a:pathLst>
            </a:custGeom>
            <a:gradFill rotWithShape="1">
              <a:gsLst>
                <a:gs pos="0">
                  <a:srgbClr val="DDDDDD"/>
                </a:gs>
                <a:gs pos="100000">
                  <a:srgbClr val="CCFFCC"/>
                </a:gs>
              </a:gsLst>
              <a:path path="rect">
                <a:fillToRect l="50000" t="50000" r="50000" b="50000"/>
              </a:path>
            </a:gradFill>
            <a:ln w="9525">
              <a:noFill/>
              <a:round/>
              <a:headEnd/>
              <a:tailEnd/>
            </a:ln>
          </xdr:spPr>
        </xdr:sp>
        <xdr:sp macro="" textlink="">
          <xdr:nvSpPr>
            <xdr:cNvPr id="12294" name="AutoShape 1030">
              <a:extLst>
                <a:ext uri="{FF2B5EF4-FFF2-40B4-BE49-F238E27FC236}">
                  <a16:creationId xmlns:a16="http://schemas.microsoft.com/office/drawing/2014/main" id="{00000000-0008-0000-1100-000006300000}"/>
                </a:ext>
              </a:extLst>
            </xdr:cNvPr>
            <xdr:cNvSpPr>
              <a:spLocks noChangeArrowheads="1"/>
            </xdr:cNvSpPr>
          </xdr:nvSpPr>
          <xdr:spPr bwMode="auto">
            <a:xfrm>
              <a:off x="514350" y="6390787"/>
              <a:ext cx="3921613" cy="1428750"/>
            </a:xfrm>
            <a:prstGeom prst="roundRect">
              <a:avLst>
                <a:gd name="adj" fmla="val 11111"/>
              </a:avLst>
            </a:prstGeom>
            <a:solidFill>
              <a:srgbClr val="999933"/>
            </a:solidFill>
            <a:ln w="19050">
              <a:solidFill>
                <a:srgbClr val="000000"/>
              </a:solidFill>
              <a:round/>
              <a:headEnd/>
              <a:tailEnd/>
            </a:ln>
          </xdr:spPr>
        </xdr:sp>
        <xdr:sp macro="" textlink="">
          <xdr:nvSpPr>
            <xdr:cNvPr id="12295" name="AutoShape 1031">
              <a:extLst>
                <a:ext uri="{FF2B5EF4-FFF2-40B4-BE49-F238E27FC236}">
                  <a16:creationId xmlns:a16="http://schemas.microsoft.com/office/drawing/2014/main" id="{00000000-0008-0000-1100-000007300000}"/>
                </a:ext>
              </a:extLst>
            </xdr:cNvPr>
            <xdr:cNvSpPr>
              <a:spLocks noChangeArrowheads="1"/>
            </xdr:cNvSpPr>
          </xdr:nvSpPr>
          <xdr:spPr bwMode="auto">
            <a:xfrm>
              <a:off x="590550" y="6466987"/>
              <a:ext cx="3769213" cy="1270000"/>
            </a:xfrm>
            <a:prstGeom prst="roundRect">
              <a:avLst>
                <a:gd name="adj" fmla="val 6616"/>
              </a:avLst>
            </a:prstGeom>
            <a:solidFill>
              <a:srgbClr val="FFFFFF"/>
            </a:solidFill>
            <a:ln w="19050">
              <a:solidFill>
                <a:srgbClr val="000000"/>
              </a:solidFill>
              <a:round/>
              <a:headEnd/>
              <a:tailEnd/>
            </a:ln>
          </xdr:spPr>
        </xdr:sp>
        <xdr:sp macro="" textlink="">
          <xdr:nvSpPr>
            <xdr:cNvPr id="12296" name="Rectangle 1032" descr="10%">
              <a:extLst>
                <a:ext uri="{FF2B5EF4-FFF2-40B4-BE49-F238E27FC236}">
                  <a16:creationId xmlns:a16="http://schemas.microsoft.com/office/drawing/2014/main" id="{00000000-0008-0000-1100-000008300000}"/>
                </a:ext>
              </a:extLst>
            </xdr:cNvPr>
            <xdr:cNvSpPr>
              <a:spLocks noChangeArrowheads="1"/>
            </xdr:cNvSpPr>
          </xdr:nvSpPr>
          <xdr:spPr bwMode="auto">
            <a:xfrm>
              <a:off x="2374656" y="6540012"/>
              <a:ext cx="191477" cy="1101725"/>
            </a:xfrm>
            <a:prstGeom prst="rect">
              <a:avLst/>
            </a:prstGeom>
            <a:pattFill prst="pct10">
              <a:fgClr>
                <a:srgbClr val="000000"/>
              </a:fgClr>
              <a:bgClr>
                <a:srgbClr val="FFFF66"/>
              </a:bgClr>
            </a:pattFill>
            <a:ln w="9525">
              <a:solidFill>
                <a:srgbClr val="000000"/>
              </a:solidFill>
              <a:miter lim="800000"/>
              <a:headEnd/>
              <a:tailEnd/>
            </a:ln>
          </xdr:spPr>
        </xdr:sp>
        <xdr:sp macro="" textlink="">
          <xdr:nvSpPr>
            <xdr:cNvPr id="12297" name="Rectangle 1033">
              <a:extLst>
                <a:ext uri="{FF2B5EF4-FFF2-40B4-BE49-F238E27FC236}">
                  <a16:creationId xmlns:a16="http://schemas.microsoft.com/office/drawing/2014/main" id="{00000000-0008-0000-1100-000009300000}"/>
                </a:ext>
              </a:extLst>
            </xdr:cNvPr>
            <xdr:cNvSpPr>
              <a:spLocks noChangeArrowheads="1"/>
            </xdr:cNvSpPr>
          </xdr:nvSpPr>
          <xdr:spPr bwMode="auto">
            <a:xfrm>
              <a:off x="2547083" y="6540012"/>
              <a:ext cx="1803155" cy="1101725"/>
            </a:xfrm>
            <a:prstGeom prst="rect">
              <a:avLst/>
            </a:prstGeom>
            <a:solidFill>
              <a:srgbClr val="C0C0C0"/>
            </a:solidFill>
            <a:ln w="9525">
              <a:solidFill>
                <a:srgbClr val="000000"/>
              </a:solidFill>
              <a:miter lim="800000"/>
              <a:headEnd/>
              <a:tailEnd/>
            </a:ln>
          </xdr:spPr>
        </xdr:sp>
        <xdr:sp macro="" textlink="">
          <xdr:nvSpPr>
            <xdr:cNvPr id="12298" name="Rectangle 1034">
              <a:extLst>
                <a:ext uri="{FF2B5EF4-FFF2-40B4-BE49-F238E27FC236}">
                  <a16:creationId xmlns:a16="http://schemas.microsoft.com/office/drawing/2014/main" id="{00000000-0008-0000-1100-00000A300000}"/>
                </a:ext>
              </a:extLst>
            </xdr:cNvPr>
            <xdr:cNvSpPr>
              <a:spLocks noChangeArrowheads="1"/>
            </xdr:cNvSpPr>
          </xdr:nvSpPr>
          <xdr:spPr bwMode="auto">
            <a:xfrm>
              <a:off x="590550" y="6540012"/>
              <a:ext cx="1803156" cy="1101725"/>
            </a:xfrm>
            <a:prstGeom prst="rect">
              <a:avLst/>
            </a:prstGeom>
            <a:solidFill>
              <a:srgbClr val="C0C0C0"/>
            </a:solidFill>
            <a:ln w="9525">
              <a:solidFill>
                <a:srgbClr val="000000"/>
              </a:solidFill>
              <a:miter lim="800000"/>
              <a:headEnd/>
              <a:tailEnd/>
            </a:ln>
          </xdr:spPr>
        </xdr:sp>
        <xdr:sp macro="" textlink="">
          <xdr:nvSpPr>
            <xdr:cNvPr id="12299" name="AutoShape 1035">
              <a:extLst>
                <a:ext uri="{FF2B5EF4-FFF2-40B4-BE49-F238E27FC236}">
                  <a16:creationId xmlns:a16="http://schemas.microsoft.com/office/drawing/2014/main" id="{00000000-0008-0000-1100-00000B300000}"/>
                </a:ext>
              </a:extLst>
            </xdr:cNvPr>
            <xdr:cNvSpPr>
              <a:spLocks noChangeArrowheads="1"/>
            </xdr:cNvSpPr>
          </xdr:nvSpPr>
          <xdr:spPr bwMode="auto">
            <a:xfrm>
              <a:off x="5217990" y="6371737"/>
              <a:ext cx="4378814" cy="1428750"/>
            </a:xfrm>
            <a:prstGeom prst="roundRect">
              <a:avLst>
                <a:gd name="adj" fmla="val 11111"/>
              </a:avLst>
            </a:prstGeom>
            <a:solidFill>
              <a:srgbClr val="999933"/>
            </a:solidFill>
            <a:ln w="19050">
              <a:solidFill>
                <a:srgbClr val="000000"/>
              </a:solidFill>
              <a:round/>
              <a:headEnd/>
              <a:tailEnd/>
            </a:ln>
          </xdr:spPr>
        </xdr:sp>
        <xdr:sp macro="" textlink="">
          <xdr:nvSpPr>
            <xdr:cNvPr id="12300" name="AutoShape 1036">
              <a:extLst>
                <a:ext uri="{FF2B5EF4-FFF2-40B4-BE49-F238E27FC236}">
                  <a16:creationId xmlns:a16="http://schemas.microsoft.com/office/drawing/2014/main" id="{00000000-0008-0000-1100-00000C300000}"/>
                </a:ext>
              </a:extLst>
            </xdr:cNvPr>
            <xdr:cNvSpPr>
              <a:spLocks noChangeArrowheads="1"/>
            </xdr:cNvSpPr>
          </xdr:nvSpPr>
          <xdr:spPr bwMode="auto">
            <a:xfrm>
              <a:off x="5313240" y="6457462"/>
              <a:ext cx="4207364" cy="1270000"/>
            </a:xfrm>
            <a:prstGeom prst="roundRect">
              <a:avLst>
                <a:gd name="adj" fmla="val 6616"/>
              </a:avLst>
            </a:prstGeom>
            <a:solidFill>
              <a:srgbClr val="FFFFFF"/>
            </a:solidFill>
            <a:ln w="19050">
              <a:solidFill>
                <a:srgbClr val="000000"/>
              </a:solidFill>
              <a:round/>
              <a:headEnd/>
              <a:tailEnd/>
            </a:ln>
          </xdr:spPr>
        </xdr:sp>
        <xdr:sp macro="" textlink="">
          <xdr:nvSpPr>
            <xdr:cNvPr id="12301" name="AutoShape 1037">
              <a:extLst>
                <a:ext uri="{FF2B5EF4-FFF2-40B4-BE49-F238E27FC236}">
                  <a16:creationId xmlns:a16="http://schemas.microsoft.com/office/drawing/2014/main" id="{00000000-0008-0000-1100-00000D300000}"/>
                </a:ext>
              </a:extLst>
            </xdr:cNvPr>
            <xdr:cNvSpPr>
              <a:spLocks noChangeArrowheads="1"/>
            </xdr:cNvSpPr>
          </xdr:nvSpPr>
          <xdr:spPr bwMode="auto">
            <a:xfrm>
              <a:off x="8147050" y="6540012"/>
              <a:ext cx="1230679" cy="1076325"/>
            </a:xfrm>
            <a:prstGeom prst="roundRect">
              <a:avLst>
                <a:gd name="adj" fmla="val 6778"/>
              </a:avLst>
            </a:prstGeom>
            <a:solidFill>
              <a:srgbClr val="C0C0C0"/>
            </a:solidFill>
            <a:ln w="9525">
              <a:solidFill>
                <a:srgbClr val="000000"/>
              </a:solidFill>
              <a:round/>
              <a:headEnd/>
              <a:tailEnd/>
            </a:ln>
          </xdr:spPr>
        </xdr:sp>
        <xdr:sp macro="" textlink="">
          <xdr:nvSpPr>
            <xdr:cNvPr id="12302" name="Rectangle 1038" descr="Dark upward diagonal">
              <a:extLst>
                <a:ext uri="{FF2B5EF4-FFF2-40B4-BE49-F238E27FC236}">
                  <a16:creationId xmlns:a16="http://schemas.microsoft.com/office/drawing/2014/main" id="{00000000-0008-0000-1100-00000E300000}"/>
                </a:ext>
              </a:extLst>
            </xdr:cNvPr>
            <xdr:cNvSpPr>
              <a:spLocks noChangeArrowheads="1"/>
            </xdr:cNvSpPr>
          </xdr:nvSpPr>
          <xdr:spPr bwMode="auto">
            <a:xfrm>
              <a:off x="9377729" y="6568587"/>
              <a:ext cx="38100" cy="1057275"/>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303" name="Rectangle 1039" descr="Dark upward diagonal">
              <a:extLst>
                <a:ext uri="{FF2B5EF4-FFF2-40B4-BE49-F238E27FC236}">
                  <a16:creationId xmlns:a16="http://schemas.microsoft.com/office/drawing/2014/main" id="{00000000-0008-0000-1100-00000F300000}"/>
                </a:ext>
              </a:extLst>
            </xdr:cNvPr>
            <xdr:cNvSpPr>
              <a:spLocks noChangeArrowheads="1"/>
            </xdr:cNvSpPr>
          </xdr:nvSpPr>
          <xdr:spPr bwMode="auto">
            <a:xfrm>
              <a:off x="5647592" y="6568587"/>
              <a:ext cx="38100" cy="1057275"/>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304" name="AutoShape 1040">
              <a:extLst>
                <a:ext uri="{FF2B5EF4-FFF2-40B4-BE49-F238E27FC236}">
                  <a16:creationId xmlns:a16="http://schemas.microsoft.com/office/drawing/2014/main" id="{00000000-0008-0000-1100-000010300000}"/>
                </a:ext>
              </a:extLst>
            </xdr:cNvPr>
            <xdr:cNvSpPr>
              <a:spLocks noChangeArrowheads="1"/>
            </xdr:cNvSpPr>
          </xdr:nvSpPr>
          <xdr:spPr bwMode="auto">
            <a:xfrm>
              <a:off x="5685692" y="6540012"/>
              <a:ext cx="1230679" cy="1076325"/>
            </a:xfrm>
            <a:prstGeom prst="roundRect">
              <a:avLst>
                <a:gd name="adj" fmla="val 6778"/>
              </a:avLst>
            </a:prstGeom>
            <a:solidFill>
              <a:srgbClr val="C0C0C0"/>
            </a:solidFill>
            <a:ln w="9525">
              <a:solidFill>
                <a:srgbClr val="000000"/>
              </a:solidFill>
              <a:round/>
              <a:headEnd/>
              <a:tailEnd/>
            </a:ln>
          </xdr:spPr>
        </xdr:sp>
        <xdr:sp macro="" textlink="">
          <xdr:nvSpPr>
            <xdr:cNvPr id="12305" name="AutoShape 1041">
              <a:extLst>
                <a:ext uri="{FF2B5EF4-FFF2-40B4-BE49-F238E27FC236}">
                  <a16:creationId xmlns:a16="http://schemas.microsoft.com/office/drawing/2014/main" id="{00000000-0008-0000-1100-000011300000}"/>
                </a:ext>
              </a:extLst>
            </xdr:cNvPr>
            <xdr:cNvSpPr>
              <a:spLocks noChangeArrowheads="1"/>
            </xdr:cNvSpPr>
          </xdr:nvSpPr>
          <xdr:spPr bwMode="auto">
            <a:xfrm>
              <a:off x="6916371" y="6540012"/>
              <a:ext cx="1230679" cy="1076325"/>
            </a:xfrm>
            <a:prstGeom prst="roundRect">
              <a:avLst>
                <a:gd name="adj" fmla="val 6778"/>
              </a:avLst>
            </a:prstGeom>
            <a:solidFill>
              <a:srgbClr val="C0C0C0"/>
            </a:solidFill>
            <a:ln w="9525">
              <a:solidFill>
                <a:srgbClr val="000000"/>
              </a:solidFill>
              <a:round/>
              <a:headEnd/>
              <a:tailEnd/>
            </a:ln>
          </xdr:spPr>
        </xdr:sp>
        <xdr:sp macro="" textlink="">
          <xdr:nvSpPr>
            <xdr:cNvPr id="12306" name="Rectangle 1042">
              <a:extLst>
                <a:ext uri="{FF2B5EF4-FFF2-40B4-BE49-F238E27FC236}">
                  <a16:creationId xmlns:a16="http://schemas.microsoft.com/office/drawing/2014/main" id="{00000000-0008-0000-1100-000012300000}"/>
                </a:ext>
              </a:extLst>
            </xdr:cNvPr>
            <xdr:cNvSpPr>
              <a:spLocks noChangeArrowheads="1"/>
            </xdr:cNvSpPr>
          </xdr:nvSpPr>
          <xdr:spPr bwMode="auto">
            <a:xfrm>
              <a:off x="5552342" y="6371737"/>
              <a:ext cx="47625" cy="76200"/>
            </a:xfrm>
            <a:prstGeom prst="rect">
              <a:avLst/>
            </a:prstGeom>
            <a:solidFill>
              <a:srgbClr val="000000"/>
            </a:solidFill>
            <a:ln w="9525">
              <a:solidFill>
                <a:srgbClr val="000000"/>
              </a:solidFill>
              <a:miter lim="800000"/>
              <a:headEnd/>
              <a:tailEnd/>
            </a:ln>
          </xdr:spPr>
        </xdr:sp>
        <xdr:sp macro="" textlink="">
          <xdr:nvSpPr>
            <xdr:cNvPr id="12307" name="Rectangle 1043">
              <a:extLst>
                <a:ext uri="{FF2B5EF4-FFF2-40B4-BE49-F238E27FC236}">
                  <a16:creationId xmlns:a16="http://schemas.microsoft.com/office/drawing/2014/main" id="{00000000-0008-0000-1100-000013300000}"/>
                </a:ext>
              </a:extLst>
            </xdr:cNvPr>
            <xdr:cNvSpPr>
              <a:spLocks noChangeArrowheads="1"/>
            </xdr:cNvSpPr>
          </xdr:nvSpPr>
          <xdr:spPr bwMode="auto">
            <a:xfrm>
              <a:off x="5552342" y="6466987"/>
              <a:ext cx="76200" cy="1250950"/>
            </a:xfrm>
            <a:prstGeom prst="rect">
              <a:avLst/>
            </a:prstGeom>
            <a:solidFill>
              <a:srgbClr val="999933"/>
            </a:solidFill>
            <a:ln w="9525">
              <a:solidFill>
                <a:srgbClr val="000000"/>
              </a:solidFill>
              <a:miter lim="800000"/>
              <a:headEnd/>
              <a:tailEnd/>
            </a:ln>
          </xdr:spPr>
        </xdr:sp>
        <xdr:sp macro="" textlink="">
          <xdr:nvSpPr>
            <xdr:cNvPr id="12308" name="Rectangle 1044">
              <a:extLst>
                <a:ext uri="{FF2B5EF4-FFF2-40B4-BE49-F238E27FC236}">
                  <a16:creationId xmlns:a16="http://schemas.microsoft.com/office/drawing/2014/main" id="{00000000-0008-0000-1100-000014300000}"/>
                </a:ext>
              </a:extLst>
            </xdr:cNvPr>
            <xdr:cNvSpPr>
              <a:spLocks noChangeArrowheads="1"/>
            </xdr:cNvSpPr>
          </xdr:nvSpPr>
          <xdr:spPr bwMode="auto">
            <a:xfrm>
              <a:off x="5179890" y="6232037"/>
              <a:ext cx="353402" cy="1644650"/>
            </a:xfrm>
            <a:prstGeom prst="rect">
              <a:avLst/>
            </a:prstGeom>
            <a:solidFill>
              <a:srgbClr val="FFFFFF"/>
            </a:solidFill>
            <a:ln w="9525">
              <a:noFill/>
              <a:miter lim="800000"/>
              <a:headEnd/>
              <a:tailEnd/>
            </a:ln>
          </xdr:spPr>
        </xdr:sp>
        <xdr:sp macro="" textlink="">
          <xdr:nvSpPr>
            <xdr:cNvPr id="12309" name="Rectangle 1045" descr="Dark downward diagonal">
              <a:extLst>
                <a:ext uri="{FF2B5EF4-FFF2-40B4-BE49-F238E27FC236}">
                  <a16:creationId xmlns:a16="http://schemas.microsoft.com/office/drawing/2014/main" id="{00000000-0008-0000-1100-000015300000}"/>
                </a:ext>
              </a:extLst>
            </xdr:cNvPr>
            <xdr:cNvSpPr>
              <a:spLocks noChangeArrowheads="1"/>
            </xdr:cNvSpPr>
          </xdr:nvSpPr>
          <xdr:spPr bwMode="auto">
            <a:xfrm>
              <a:off x="5523767" y="6362212"/>
              <a:ext cx="28575" cy="1447800"/>
            </a:xfrm>
            <a:prstGeom prst="rect">
              <a:avLst/>
            </a:prstGeom>
            <a:pattFill prst="dkDnDiag">
              <a:fgClr>
                <a:srgbClr val="000000"/>
              </a:fgClr>
              <a:bgClr>
                <a:srgbClr val="6699FF"/>
              </a:bgClr>
            </a:pattFill>
            <a:ln w="9525">
              <a:solidFill>
                <a:srgbClr val="000000"/>
              </a:solidFill>
              <a:miter lim="800000"/>
              <a:headEnd/>
              <a:tailEnd/>
            </a:ln>
          </xdr:spPr>
        </xdr:sp>
        <xdr:sp macro="" textlink="">
          <xdr:nvSpPr>
            <xdr:cNvPr id="12310" name="Rectangle 1046">
              <a:extLst>
                <a:ext uri="{FF2B5EF4-FFF2-40B4-BE49-F238E27FC236}">
                  <a16:creationId xmlns:a16="http://schemas.microsoft.com/office/drawing/2014/main" id="{00000000-0008-0000-1100-000016300000}"/>
                </a:ext>
              </a:extLst>
            </xdr:cNvPr>
            <xdr:cNvSpPr>
              <a:spLocks noChangeArrowheads="1"/>
            </xdr:cNvSpPr>
          </xdr:nvSpPr>
          <xdr:spPr bwMode="auto">
            <a:xfrm>
              <a:off x="5561867" y="7727462"/>
              <a:ext cx="47625" cy="73025"/>
            </a:xfrm>
            <a:prstGeom prst="rect">
              <a:avLst/>
            </a:prstGeom>
            <a:solidFill>
              <a:srgbClr val="000000"/>
            </a:solidFill>
            <a:ln w="9525">
              <a:solidFill>
                <a:srgbClr val="000000"/>
              </a:solidFill>
              <a:miter lim="800000"/>
              <a:headEnd/>
              <a:tailEnd/>
            </a:ln>
          </xdr:spPr>
        </xdr:sp>
        <xdr:grpSp>
          <xdr:nvGrpSpPr>
            <xdr:cNvPr id="12311" name="Group 1047">
              <a:extLst>
                <a:ext uri="{FF2B5EF4-FFF2-40B4-BE49-F238E27FC236}">
                  <a16:creationId xmlns:a16="http://schemas.microsoft.com/office/drawing/2014/main" id="{00000000-0008-0000-1100-000017300000}"/>
                </a:ext>
              </a:extLst>
            </xdr:cNvPr>
            <xdr:cNvGrpSpPr>
              <a:grpSpLocks/>
            </xdr:cNvGrpSpPr>
          </xdr:nvGrpSpPr>
          <xdr:grpSpPr bwMode="auto">
            <a:xfrm>
              <a:off x="5465640" y="6362212"/>
              <a:ext cx="143852" cy="104775"/>
              <a:chOff x="719" y="713"/>
              <a:chExt cx="15" cy="11"/>
            </a:xfrm>
          </xdr:grpSpPr>
          <xdr:grpSp>
            <xdr:nvGrpSpPr>
              <xdr:cNvPr id="12800" name="Group 1048">
                <a:extLst>
                  <a:ext uri="{FF2B5EF4-FFF2-40B4-BE49-F238E27FC236}">
                    <a16:creationId xmlns:a16="http://schemas.microsoft.com/office/drawing/2014/main" id="{00000000-0008-0000-1100-000000320000}"/>
                  </a:ext>
                </a:extLst>
              </xdr:cNvPr>
              <xdr:cNvGrpSpPr>
                <a:grpSpLocks/>
              </xdr:cNvGrpSpPr>
            </xdr:nvGrpSpPr>
            <xdr:grpSpPr bwMode="auto">
              <a:xfrm>
                <a:off x="719" y="713"/>
                <a:ext cx="5" cy="11"/>
                <a:chOff x="719" y="713"/>
                <a:chExt cx="5" cy="10"/>
              </a:xfrm>
            </xdr:grpSpPr>
            <xdr:sp macro="" textlink="">
              <xdr:nvSpPr>
                <xdr:cNvPr id="12802" name="Rectangle 1049">
                  <a:extLst>
                    <a:ext uri="{FF2B5EF4-FFF2-40B4-BE49-F238E27FC236}">
                      <a16:creationId xmlns:a16="http://schemas.microsoft.com/office/drawing/2014/main" id="{00000000-0008-0000-1100-00000232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803" name="Line 1050">
                  <a:extLst>
                    <a:ext uri="{FF2B5EF4-FFF2-40B4-BE49-F238E27FC236}">
                      <a16:creationId xmlns:a16="http://schemas.microsoft.com/office/drawing/2014/main" id="{00000000-0008-0000-1100-00000332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804" name="Line 1051">
                  <a:extLst>
                    <a:ext uri="{FF2B5EF4-FFF2-40B4-BE49-F238E27FC236}">
                      <a16:creationId xmlns:a16="http://schemas.microsoft.com/office/drawing/2014/main" id="{00000000-0008-0000-1100-00000432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801" name="Rectangle 1052" descr="Dark upward diagonal">
                <a:extLst>
                  <a:ext uri="{FF2B5EF4-FFF2-40B4-BE49-F238E27FC236}">
                    <a16:creationId xmlns:a16="http://schemas.microsoft.com/office/drawing/2014/main" id="{00000000-0008-0000-1100-00000132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312" name="Group 1053">
              <a:extLst>
                <a:ext uri="{FF2B5EF4-FFF2-40B4-BE49-F238E27FC236}">
                  <a16:creationId xmlns:a16="http://schemas.microsoft.com/office/drawing/2014/main" id="{00000000-0008-0000-1100-000018300000}"/>
                </a:ext>
              </a:extLst>
            </xdr:cNvPr>
            <xdr:cNvGrpSpPr>
              <a:grpSpLocks/>
            </xdr:cNvGrpSpPr>
          </xdr:nvGrpSpPr>
          <xdr:grpSpPr bwMode="auto">
            <a:xfrm>
              <a:off x="5475165" y="7708412"/>
              <a:ext cx="143852" cy="101600"/>
              <a:chOff x="719" y="713"/>
              <a:chExt cx="15" cy="11"/>
            </a:xfrm>
          </xdr:grpSpPr>
          <xdr:grpSp>
            <xdr:nvGrpSpPr>
              <xdr:cNvPr id="12795" name="Group 1054">
                <a:extLst>
                  <a:ext uri="{FF2B5EF4-FFF2-40B4-BE49-F238E27FC236}">
                    <a16:creationId xmlns:a16="http://schemas.microsoft.com/office/drawing/2014/main" id="{00000000-0008-0000-1100-0000FB310000}"/>
                  </a:ext>
                </a:extLst>
              </xdr:cNvPr>
              <xdr:cNvGrpSpPr>
                <a:grpSpLocks/>
              </xdr:cNvGrpSpPr>
            </xdr:nvGrpSpPr>
            <xdr:grpSpPr bwMode="auto">
              <a:xfrm>
                <a:off x="719" y="713"/>
                <a:ext cx="5" cy="11"/>
                <a:chOff x="719" y="713"/>
                <a:chExt cx="5" cy="10"/>
              </a:xfrm>
            </xdr:grpSpPr>
            <xdr:sp macro="" textlink="">
              <xdr:nvSpPr>
                <xdr:cNvPr id="12797" name="Rectangle 1055">
                  <a:extLst>
                    <a:ext uri="{FF2B5EF4-FFF2-40B4-BE49-F238E27FC236}">
                      <a16:creationId xmlns:a16="http://schemas.microsoft.com/office/drawing/2014/main" id="{00000000-0008-0000-1100-0000FD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798" name="Line 1056">
                  <a:extLst>
                    <a:ext uri="{FF2B5EF4-FFF2-40B4-BE49-F238E27FC236}">
                      <a16:creationId xmlns:a16="http://schemas.microsoft.com/office/drawing/2014/main" id="{00000000-0008-0000-1100-0000FE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799" name="Line 1057">
                  <a:extLst>
                    <a:ext uri="{FF2B5EF4-FFF2-40B4-BE49-F238E27FC236}">
                      <a16:creationId xmlns:a16="http://schemas.microsoft.com/office/drawing/2014/main" id="{00000000-0008-0000-1100-0000FF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796" name="Rectangle 1058" descr="Dark upward diagonal">
                <a:extLst>
                  <a:ext uri="{FF2B5EF4-FFF2-40B4-BE49-F238E27FC236}">
                    <a16:creationId xmlns:a16="http://schemas.microsoft.com/office/drawing/2014/main" id="{00000000-0008-0000-1100-0000FC31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313" name="Group 1059">
              <a:extLst>
                <a:ext uri="{FF2B5EF4-FFF2-40B4-BE49-F238E27FC236}">
                  <a16:creationId xmlns:a16="http://schemas.microsoft.com/office/drawing/2014/main" id="{00000000-0008-0000-1100-000019300000}"/>
                </a:ext>
              </a:extLst>
            </xdr:cNvPr>
            <xdr:cNvGrpSpPr>
              <a:grpSpLocks/>
            </xdr:cNvGrpSpPr>
          </xdr:nvGrpSpPr>
          <xdr:grpSpPr bwMode="auto">
            <a:xfrm>
              <a:off x="5465640" y="7006737"/>
              <a:ext cx="48602" cy="104775"/>
              <a:chOff x="719" y="713"/>
              <a:chExt cx="5" cy="10"/>
            </a:xfrm>
          </xdr:grpSpPr>
          <xdr:sp macro="" textlink="">
            <xdr:nvSpPr>
              <xdr:cNvPr id="12792" name="Rectangle 1060">
                <a:extLst>
                  <a:ext uri="{FF2B5EF4-FFF2-40B4-BE49-F238E27FC236}">
                    <a16:creationId xmlns:a16="http://schemas.microsoft.com/office/drawing/2014/main" id="{00000000-0008-0000-1100-0000F8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793" name="Line 1061">
                <a:extLst>
                  <a:ext uri="{FF2B5EF4-FFF2-40B4-BE49-F238E27FC236}">
                    <a16:creationId xmlns:a16="http://schemas.microsoft.com/office/drawing/2014/main" id="{00000000-0008-0000-1100-0000F9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794" name="Line 1062">
                <a:extLst>
                  <a:ext uri="{FF2B5EF4-FFF2-40B4-BE49-F238E27FC236}">
                    <a16:creationId xmlns:a16="http://schemas.microsoft.com/office/drawing/2014/main" id="{00000000-0008-0000-1100-0000FA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grpSp>
          <xdr:nvGrpSpPr>
            <xdr:cNvPr id="12314" name="Group 1063">
              <a:extLst>
                <a:ext uri="{FF2B5EF4-FFF2-40B4-BE49-F238E27FC236}">
                  <a16:creationId xmlns:a16="http://schemas.microsoft.com/office/drawing/2014/main" id="{00000000-0008-0000-1100-00001A300000}"/>
                </a:ext>
              </a:extLst>
            </xdr:cNvPr>
            <xdr:cNvGrpSpPr>
              <a:grpSpLocks/>
            </xdr:cNvGrpSpPr>
          </xdr:nvGrpSpPr>
          <xdr:grpSpPr bwMode="auto">
            <a:xfrm>
              <a:off x="5027490" y="5577987"/>
              <a:ext cx="161925" cy="168275"/>
              <a:chOff x="646" y="934"/>
              <a:chExt cx="17" cy="18"/>
            </a:xfrm>
          </xdr:grpSpPr>
          <xdr:sp macro="" textlink="">
            <xdr:nvSpPr>
              <xdr:cNvPr id="12787" name="Freeform 1064">
                <a:extLst>
                  <a:ext uri="{FF2B5EF4-FFF2-40B4-BE49-F238E27FC236}">
                    <a16:creationId xmlns:a16="http://schemas.microsoft.com/office/drawing/2014/main" id="{00000000-0008-0000-1100-0000F3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8" name="Freeform 1065">
                <a:extLst>
                  <a:ext uri="{FF2B5EF4-FFF2-40B4-BE49-F238E27FC236}">
                    <a16:creationId xmlns:a16="http://schemas.microsoft.com/office/drawing/2014/main" id="{00000000-0008-0000-1100-0000F4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9" name="Freeform 1066">
                <a:extLst>
                  <a:ext uri="{FF2B5EF4-FFF2-40B4-BE49-F238E27FC236}">
                    <a16:creationId xmlns:a16="http://schemas.microsoft.com/office/drawing/2014/main" id="{00000000-0008-0000-1100-0000F5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90" name="Freeform 1067">
                <a:extLst>
                  <a:ext uri="{FF2B5EF4-FFF2-40B4-BE49-F238E27FC236}">
                    <a16:creationId xmlns:a16="http://schemas.microsoft.com/office/drawing/2014/main" id="{00000000-0008-0000-1100-0000F6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91" name="Freeform 1068">
                <a:extLst>
                  <a:ext uri="{FF2B5EF4-FFF2-40B4-BE49-F238E27FC236}">
                    <a16:creationId xmlns:a16="http://schemas.microsoft.com/office/drawing/2014/main" id="{00000000-0008-0000-1100-0000F7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5" name="Group 1069">
              <a:extLst>
                <a:ext uri="{FF2B5EF4-FFF2-40B4-BE49-F238E27FC236}">
                  <a16:creationId xmlns:a16="http://schemas.microsoft.com/office/drawing/2014/main" id="{00000000-0008-0000-1100-00001B300000}"/>
                </a:ext>
              </a:extLst>
            </xdr:cNvPr>
            <xdr:cNvGrpSpPr>
              <a:grpSpLocks/>
            </xdr:cNvGrpSpPr>
          </xdr:nvGrpSpPr>
          <xdr:grpSpPr bwMode="auto">
            <a:xfrm>
              <a:off x="4283563" y="5187462"/>
              <a:ext cx="161925" cy="168275"/>
              <a:chOff x="646" y="934"/>
              <a:chExt cx="17" cy="18"/>
            </a:xfrm>
          </xdr:grpSpPr>
          <xdr:sp macro="" textlink="">
            <xdr:nvSpPr>
              <xdr:cNvPr id="12782" name="Freeform 1070">
                <a:extLst>
                  <a:ext uri="{FF2B5EF4-FFF2-40B4-BE49-F238E27FC236}">
                    <a16:creationId xmlns:a16="http://schemas.microsoft.com/office/drawing/2014/main" id="{00000000-0008-0000-1100-0000EE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3" name="Freeform 1071">
                <a:extLst>
                  <a:ext uri="{FF2B5EF4-FFF2-40B4-BE49-F238E27FC236}">
                    <a16:creationId xmlns:a16="http://schemas.microsoft.com/office/drawing/2014/main" id="{00000000-0008-0000-1100-0000EF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4" name="Freeform 1072">
                <a:extLst>
                  <a:ext uri="{FF2B5EF4-FFF2-40B4-BE49-F238E27FC236}">
                    <a16:creationId xmlns:a16="http://schemas.microsoft.com/office/drawing/2014/main" id="{00000000-0008-0000-1100-0000F0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85" name="Freeform 1073">
                <a:extLst>
                  <a:ext uri="{FF2B5EF4-FFF2-40B4-BE49-F238E27FC236}">
                    <a16:creationId xmlns:a16="http://schemas.microsoft.com/office/drawing/2014/main" id="{00000000-0008-0000-1100-0000F1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86" name="Freeform 1074">
                <a:extLst>
                  <a:ext uri="{FF2B5EF4-FFF2-40B4-BE49-F238E27FC236}">
                    <a16:creationId xmlns:a16="http://schemas.microsoft.com/office/drawing/2014/main" id="{00000000-0008-0000-1100-0000F2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6" name="Group 1075">
              <a:extLst>
                <a:ext uri="{FF2B5EF4-FFF2-40B4-BE49-F238E27FC236}">
                  <a16:creationId xmlns:a16="http://schemas.microsoft.com/office/drawing/2014/main" id="{00000000-0008-0000-1100-00001C300000}"/>
                </a:ext>
              </a:extLst>
            </xdr:cNvPr>
            <xdr:cNvGrpSpPr>
              <a:grpSpLocks/>
            </xdr:cNvGrpSpPr>
          </xdr:nvGrpSpPr>
          <xdr:grpSpPr bwMode="auto">
            <a:xfrm>
              <a:off x="4331188" y="3730137"/>
              <a:ext cx="161925" cy="168275"/>
              <a:chOff x="646" y="934"/>
              <a:chExt cx="17" cy="18"/>
            </a:xfrm>
          </xdr:grpSpPr>
          <xdr:sp macro="" textlink="">
            <xdr:nvSpPr>
              <xdr:cNvPr id="12777" name="Freeform 1076">
                <a:extLst>
                  <a:ext uri="{FF2B5EF4-FFF2-40B4-BE49-F238E27FC236}">
                    <a16:creationId xmlns:a16="http://schemas.microsoft.com/office/drawing/2014/main" id="{00000000-0008-0000-1100-0000E9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8" name="Freeform 1077">
                <a:extLst>
                  <a:ext uri="{FF2B5EF4-FFF2-40B4-BE49-F238E27FC236}">
                    <a16:creationId xmlns:a16="http://schemas.microsoft.com/office/drawing/2014/main" id="{00000000-0008-0000-1100-0000EA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9" name="Freeform 1078">
                <a:extLst>
                  <a:ext uri="{FF2B5EF4-FFF2-40B4-BE49-F238E27FC236}">
                    <a16:creationId xmlns:a16="http://schemas.microsoft.com/office/drawing/2014/main" id="{00000000-0008-0000-1100-0000EB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80" name="Freeform 1079">
                <a:extLst>
                  <a:ext uri="{FF2B5EF4-FFF2-40B4-BE49-F238E27FC236}">
                    <a16:creationId xmlns:a16="http://schemas.microsoft.com/office/drawing/2014/main" id="{00000000-0008-0000-1100-0000EC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81" name="Freeform 1080">
                <a:extLst>
                  <a:ext uri="{FF2B5EF4-FFF2-40B4-BE49-F238E27FC236}">
                    <a16:creationId xmlns:a16="http://schemas.microsoft.com/office/drawing/2014/main" id="{00000000-0008-0000-1100-0000ED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7" name="Group 1081">
              <a:extLst>
                <a:ext uri="{FF2B5EF4-FFF2-40B4-BE49-F238E27FC236}">
                  <a16:creationId xmlns:a16="http://schemas.microsoft.com/office/drawing/2014/main" id="{00000000-0008-0000-1100-00001D300000}"/>
                </a:ext>
              </a:extLst>
            </xdr:cNvPr>
            <xdr:cNvGrpSpPr>
              <a:grpSpLocks/>
            </xdr:cNvGrpSpPr>
          </xdr:nvGrpSpPr>
          <xdr:grpSpPr bwMode="auto">
            <a:xfrm>
              <a:off x="3586285" y="4803287"/>
              <a:ext cx="162902" cy="168275"/>
              <a:chOff x="646" y="934"/>
              <a:chExt cx="17" cy="18"/>
            </a:xfrm>
          </xdr:grpSpPr>
          <xdr:sp macro="" textlink="">
            <xdr:nvSpPr>
              <xdr:cNvPr id="12772" name="Freeform 1082">
                <a:extLst>
                  <a:ext uri="{FF2B5EF4-FFF2-40B4-BE49-F238E27FC236}">
                    <a16:creationId xmlns:a16="http://schemas.microsoft.com/office/drawing/2014/main" id="{00000000-0008-0000-1100-0000E4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3" name="Freeform 1083">
                <a:extLst>
                  <a:ext uri="{FF2B5EF4-FFF2-40B4-BE49-F238E27FC236}">
                    <a16:creationId xmlns:a16="http://schemas.microsoft.com/office/drawing/2014/main" id="{00000000-0008-0000-1100-0000E5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4" name="Freeform 1084">
                <a:extLst>
                  <a:ext uri="{FF2B5EF4-FFF2-40B4-BE49-F238E27FC236}">
                    <a16:creationId xmlns:a16="http://schemas.microsoft.com/office/drawing/2014/main" id="{00000000-0008-0000-1100-0000E6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75" name="Freeform 1085">
                <a:extLst>
                  <a:ext uri="{FF2B5EF4-FFF2-40B4-BE49-F238E27FC236}">
                    <a16:creationId xmlns:a16="http://schemas.microsoft.com/office/drawing/2014/main" id="{00000000-0008-0000-1100-0000E7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76" name="Freeform 1086">
                <a:extLst>
                  <a:ext uri="{FF2B5EF4-FFF2-40B4-BE49-F238E27FC236}">
                    <a16:creationId xmlns:a16="http://schemas.microsoft.com/office/drawing/2014/main" id="{00000000-0008-0000-1100-0000E8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8" name="Group 1087">
              <a:extLst>
                <a:ext uri="{FF2B5EF4-FFF2-40B4-BE49-F238E27FC236}">
                  <a16:creationId xmlns:a16="http://schemas.microsoft.com/office/drawing/2014/main" id="{00000000-0008-0000-1100-00001E300000}"/>
                </a:ext>
              </a:extLst>
            </xdr:cNvPr>
            <xdr:cNvGrpSpPr>
              <a:grpSpLocks/>
            </xdr:cNvGrpSpPr>
          </xdr:nvGrpSpPr>
          <xdr:grpSpPr bwMode="auto">
            <a:xfrm>
              <a:off x="2861408" y="4393712"/>
              <a:ext cx="161925" cy="168275"/>
              <a:chOff x="646" y="934"/>
              <a:chExt cx="17" cy="18"/>
            </a:xfrm>
          </xdr:grpSpPr>
          <xdr:sp macro="" textlink="">
            <xdr:nvSpPr>
              <xdr:cNvPr id="12767" name="Freeform 1088">
                <a:extLst>
                  <a:ext uri="{FF2B5EF4-FFF2-40B4-BE49-F238E27FC236}">
                    <a16:creationId xmlns:a16="http://schemas.microsoft.com/office/drawing/2014/main" id="{00000000-0008-0000-1100-0000DF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8" name="Freeform 1089">
                <a:extLst>
                  <a:ext uri="{FF2B5EF4-FFF2-40B4-BE49-F238E27FC236}">
                    <a16:creationId xmlns:a16="http://schemas.microsoft.com/office/drawing/2014/main" id="{00000000-0008-0000-1100-0000E0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9" name="Freeform 1090">
                <a:extLst>
                  <a:ext uri="{FF2B5EF4-FFF2-40B4-BE49-F238E27FC236}">
                    <a16:creationId xmlns:a16="http://schemas.microsoft.com/office/drawing/2014/main" id="{00000000-0008-0000-1100-0000E1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70" name="Freeform 1091">
                <a:extLst>
                  <a:ext uri="{FF2B5EF4-FFF2-40B4-BE49-F238E27FC236}">
                    <a16:creationId xmlns:a16="http://schemas.microsoft.com/office/drawing/2014/main" id="{00000000-0008-0000-1100-0000E2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71" name="Freeform 1092">
                <a:extLst>
                  <a:ext uri="{FF2B5EF4-FFF2-40B4-BE49-F238E27FC236}">
                    <a16:creationId xmlns:a16="http://schemas.microsoft.com/office/drawing/2014/main" id="{00000000-0008-0000-1100-0000E3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9" name="Group 1093">
              <a:extLst>
                <a:ext uri="{FF2B5EF4-FFF2-40B4-BE49-F238E27FC236}">
                  <a16:creationId xmlns:a16="http://schemas.microsoft.com/office/drawing/2014/main" id="{00000000-0008-0000-1100-00001F300000}"/>
                </a:ext>
              </a:extLst>
            </xdr:cNvPr>
            <xdr:cNvGrpSpPr>
              <a:grpSpLocks/>
            </xdr:cNvGrpSpPr>
          </xdr:nvGrpSpPr>
          <xdr:grpSpPr bwMode="auto">
            <a:xfrm>
              <a:off x="3614860" y="3355487"/>
              <a:ext cx="162902" cy="168275"/>
              <a:chOff x="646" y="934"/>
              <a:chExt cx="17" cy="18"/>
            </a:xfrm>
          </xdr:grpSpPr>
          <xdr:sp macro="" textlink="">
            <xdr:nvSpPr>
              <xdr:cNvPr id="12762" name="Freeform 1094">
                <a:extLst>
                  <a:ext uri="{FF2B5EF4-FFF2-40B4-BE49-F238E27FC236}">
                    <a16:creationId xmlns:a16="http://schemas.microsoft.com/office/drawing/2014/main" id="{00000000-0008-0000-1100-0000DA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3" name="Freeform 1095">
                <a:extLst>
                  <a:ext uri="{FF2B5EF4-FFF2-40B4-BE49-F238E27FC236}">
                    <a16:creationId xmlns:a16="http://schemas.microsoft.com/office/drawing/2014/main" id="{00000000-0008-0000-1100-0000DB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4" name="Freeform 1096">
                <a:extLst>
                  <a:ext uri="{FF2B5EF4-FFF2-40B4-BE49-F238E27FC236}">
                    <a16:creationId xmlns:a16="http://schemas.microsoft.com/office/drawing/2014/main" id="{00000000-0008-0000-1100-0000DC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65" name="Freeform 1097">
                <a:extLst>
                  <a:ext uri="{FF2B5EF4-FFF2-40B4-BE49-F238E27FC236}">
                    <a16:creationId xmlns:a16="http://schemas.microsoft.com/office/drawing/2014/main" id="{00000000-0008-0000-1100-0000DD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66" name="Freeform 1098">
                <a:extLst>
                  <a:ext uri="{FF2B5EF4-FFF2-40B4-BE49-F238E27FC236}">
                    <a16:creationId xmlns:a16="http://schemas.microsoft.com/office/drawing/2014/main" id="{00000000-0008-0000-1100-0000DE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0" name="Group 1099">
              <a:extLst>
                <a:ext uri="{FF2B5EF4-FFF2-40B4-BE49-F238E27FC236}">
                  <a16:creationId xmlns:a16="http://schemas.microsoft.com/office/drawing/2014/main" id="{00000000-0008-0000-1100-000020300000}"/>
                </a:ext>
              </a:extLst>
            </xdr:cNvPr>
            <xdr:cNvGrpSpPr>
              <a:grpSpLocks/>
            </xdr:cNvGrpSpPr>
          </xdr:nvGrpSpPr>
          <xdr:grpSpPr bwMode="auto">
            <a:xfrm>
              <a:off x="2909033" y="2984012"/>
              <a:ext cx="162902" cy="168275"/>
              <a:chOff x="646" y="934"/>
              <a:chExt cx="17" cy="18"/>
            </a:xfrm>
          </xdr:grpSpPr>
          <xdr:sp macro="" textlink="">
            <xdr:nvSpPr>
              <xdr:cNvPr id="12757" name="Freeform 1100">
                <a:extLst>
                  <a:ext uri="{FF2B5EF4-FFF2-40B4-BE49-F238E27FC236}">
                    <a16:creationId xmlns:a16="http://schemas.microsoft.com/office/drawing/2014/main" id="{00000000-0008-0000-1100-0000D5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8" name="Freeform 1101">
                <a:extLst>
                  <a:ext uri="{FF2B5EF4-FFF2-40B4-BE49-F238E27FC236}">
                    <a16:creationId xmlns:a16="http://schemas.microsoft.com/office/drawing/2014/main" id="{00000000-0008-0000-1100-0000D6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9" name="Freeform 1102">
                <a:extLst>
                  <a:ext uri="{FF2B5EF4-FFF2-40B4-BE49-F238E27FC236}">
                    <a16:creationId xmlns:a16="http://schemas.microsoft.com/office/drawing/2014/main" id="{00000000-0008-0000-1100-0000D7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60" name="Freeform 1103">
                <a:extLst>
                  <a:ext uri="{FF2B5EF4-FFF2-40B4-BE49-F238E27FC236}">
                    <a16:creationId xmlns:a16="http://schemas.microsoft.com/office/drawing/2014/main" id="{00000000-0008-0000-1100-0000D8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61" name="Freeform 1104">
                <a:extLst>
                  <a:ext uri="{FF2B5EF4-FFF2-40B4-BE49-F238E27FC236}">
                    <a16:creationId xmlns:a16="http://schemas.microsoft.com/office/drawing/2014/main" id="{00000000-0008-0000-1100-0000D9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1" name="Group 1105">
              <a:extLst>
                <a:ext uri="{FF2B5EF4-FFF2-40B4-BE49-F238E27FC236}">
                  <a16:creationId xmlns:a16="http://schemas.microsoft.com/office/drawing/2014/main" id="{00000000-0008-0000-1100-000021300000}"/>
                </a:ext>
              </a:extLst>
            </xdr:cNvPr>
            <xdr:cNvGrpSpPr>
              <a:grpSpLocks/>
            </xdr:cNvGrpSpPr>
          </xdr:nvGrpSpPr>
          <xdr:grpSpPr bwMode="auto">
            <a:xfrm>
              <a:off x="2155581" y="3291987"/>
              <a:ext cx="161925" cy="168275"/>
              <a:chOff x="646" y="934"/>
              <a:chExt cx="17" cy="18"/>
            </a:xfrm>
          </xdr:grpSpPr>
          <xdr:sp macro="" textlink="">
            <xdr:nvSpPr>
              <xdr:cNvPr id="12752" name="Freeform 1106">
                <a:extLst>
                  <a:ext uri="{FF2B5EF4-FFF2-40B4-BE49-F238E27FC236}">
                    <a16:creationId xmlns:a16="http://schemas.microsoft.com/office/drawing/2014/main" id="{00000000-0008-0000-1100-0000D0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3" name="Freeform 1107">
                <a:extLst>
                  <a:ext uri="{FF2B5EF4-FFF2-40B4-BE49-F238E27FC236}">
                    <a16:creationId xmlns:a16="http://schemas.microsoft.com/office/drawing/2014/main" id="{00000000-0008-0000-1100-0000D1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4" name="Freeform 1108">
                <a:extLst>
                  <a:ext uri="{FF2B5EF4-FFF2-40B4-BE49-F238E27FC236}">
                    <a16:creationId xmlns:a16="http://schemas.microsoft.com/office/drawing/2014/main" id="{00000000-0008-0000-1100-0000D2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55" name="Freeform 1109">
                <a:extLst>
                  <a:ext uri="{FF2B5EF4-FFF2-40B4-BE49-F238E27FC236}">
                    <a16:creationId xmlns:a16="http://schemas.microsoft.com/office/drawing/2014/main" id="{00000000-0008-0000-1100-0000D3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56" name="Freeform 1110">
                <a:extLst>
                  <a:ext uri="{FF2B5EF4-FFF2-40B4-BE49-F238E27FC236}">
                    <a16:creationId xmlns:a16="http://schemas.microsoft.com/office/drawing/2014/main" id="{00000000-0008-0000-1100-0000D4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2" name="Group 1111">
              <a:extLst>
                <a:ext uri="{FF2B5EF4-FFF2-40B4-BE49-F238E27FC236}">
                  <a16:creationId xmlns:a16="http://schemas.microsoft.com/office/drawing/2014/main" id="{00000000-0008-0000-1100-000022300000}"/>
                </a:ext>
              </a:extLst>
            </xdr:cNvPr>
            <xdr:cNvGrpSpPr>
              <a:grpSpLocks/>
            </xdr:cNvGrpSpPr>
          </xdr:nvGrpSpPr>
          <xdr:grpSpPr bwMode="auto">
            <a:xfrm>
              <a:off x="2184156" y="4028587"/>
              <a:ext cx="161925" cy="168275"/>
              <a:chOff x="646" y="934"/>
              <a:chExt cx="17" cy="18"/>
            </a:xfrm>
          </xdr:grpSpPr>
          <xdr:sp macro="" textlink="">
            <xdr:nvSpPr>
              <xdr:cNvPr id="12747" name="Freeform 1112">
                <a:extLst>
                  <a:ext uri="{FF2B5EF4-FFF2-40B4-BE49-F238E27FC236}">
                    <a16:creationId xmlns:a16="http://schemas.microsoft.com/office/drawing/2014/main" id="{00000000-0008-0000-1100-0000CB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8" name="Freeform 1113">
                <a:extLst>
                  <a:ext uri="{FF2B5EF4-FFF2-40B4-BE49-F238E27FC236}">
                    <a16:creationId xmlns:a16="http://schemas.microsoft.com/office/drawing/2014/main" id="{00000000-0008-0000-1100-0000CC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9" name="Freeform 1114">
                <a:extLst>
                  <a:ext uri="{FF2B5EF4-FFF2-40B4-BE49-F238E27FC236}">
                    <a16:creationId xmlns:a16="http://schemas.microsoft.com/office/drawing/2014/main" id="{00000000-0008-0000-1100-0000CD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50" name="Freeform 1115">
                <a:extLst>
                  <a:ext uri="{FF2B5EF4-FFF2-40B4-BE49-F238E27FC236}">
                    <a16:creationId xmlns:a16="http://schemas.microsoft.com/office/drawing/2014/main" id="{00000000-0008-0000-1100-0000CE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51" name="Freeform 1116">
                <a:extLst>
                  <a:ext uri="{FF2B5EF4-FFF2-40B4-BE49-F238E27FC236}">
                    <a16:creationId xmlns:a16="http://schemas.microsoft.com/office/drawing/2014/main" id="{00000000-0008-0000-1100-0000CF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3" name="Group 1117">
              <a:extLst>
                <a:ext uri="{FF2B5EF4-FFF2-40B4-BE49-F238E27FC236}">
                  <a16:creationId xmlns:a16="http://schemas.microsoft.com/office/drawing/2014/main" id="{00000000-0008-0000-1100-000023300000}"/>
                </a:ext>
              </a:extLst>
            </xdr:cNvPr>
            <xdr:cNvGrpSpPr>
              <a:grpSpLocks/>
            </xdr:cNvGrpSpPr>
          </xdr:nvGrpSpPr>
          <xdr:grpSpPr bwMode="auto">
            <a:xfrm>
              <a:off x="2184156" y="2628412"/>
              <a:ext cx="161925" cy="168275"/>
              <a:chOff x="646" y="934"/>
              <a:chExt cx="17" cy="18"/>
            </a:xfrm>
          </xdr:grpSpPr>
          <xdr:sp macro="" textlink="">
            <xdr:nvSpPr>
              <xdr:cNvPr id="12742" name="Freeform 1118">
                <a:extLst>
                  <a:ext uri="{FF2B5EF4-FFF2-40B4-BE49-F238E27FC236}">
                    <a16:creationId xmlns:a16="http://schemas.microsoft.com/office/drawing/2014/main" id="{00000000-0008-0000-1100-0000C6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3" name="Freeform 1119">
                <a:extLst>
                  <a:ext uri="{FF2B5EF4-FFF2-40B4-BE49-F238E27FC236}">
                    <a16:creationId xmlns:a16="http://schemas.microsoft.com/office/drawing/2014/main" id="{00000000-0008-0000-1100-0000C7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4" name="Freeform 1120">
                <a:extLst>
                  <a:ext uri="{FF2B5EF4-FFF2-40B4-BE49-F238E27FC236}">
                    <a16:creationId xmlns:a16="http://schemas.microsoft.com/office/drawing/2014/main" id="{00000000-0008-0000-1100-0000C8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45" name="Freeform 1121">
                <a:extLst>
                  <a:ext uri="{FF2B5EF4-FFF2-40B4-BE49-F238E27FC236}">
                    <a16:creationId xmlns:a16="http://schemas.microsoft.com/office/drawing/2014/main" id="{00000000-0008-0000-1100-0000C9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46" name="Freeform 1122">
                <a:extLst>
                  <a:ext uri="{FF2B5EF4-FFF2-40B4-BE49-F238E27FC236}">
                    <a16:creationId xmlns:a16="http://schemas.microsoft.com/office/drawing/2014/main" id="{00000000-0008-0000-1100-0000CA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4" name="Group 1123">
              <a:extLst>
                <a:ext uri="{FF2B5EF4-FFF2-40B4-BE49-F238E27FC236}">
                  <a16:creationId xmlns:a16="http://schemas.microsoft.com/office/drawing/2014/main" id="{00000000-0008-0000-1100-000024300000}"/>
                </a:ext>
              </a:extLst>
            </xdr:cNvPr>
            <xdr:cNvGrpSpPr>
              <a:grpSpLocks/>
            </xdr:cNvGrpSpPr>
          </xdr:nvGrpSpPr>
          <xdr:grpSpPr bwMode="auto">
            <a:xfrm>
              <a:off x="5056065" y="4831862"/>
              <a:ext cx="161925" cy="168275"/>
              <a:chOff x="646" y="934"/>
              <a:chExt cx="17" cy="18"/>
            </a:xfrm>
          </xdr:grpSpPr>
          <xdr:sp macro="" textlink="">
            <xdr:nvSpPr>
              <xdr:cNvPr id="12737" name="Freeform 1124">
                <a:extLst>
                  <a:ext uri="{FF2B5EF4-FFF2-40B4-BE49-F238E27FC236}">
                    <a16:creationId xmlns:a16="http://schemas.microsoft.com/office/drawing/2014/main" id="{00000000-0008-0000-1100-0000C1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8" name="Freeform 1125">
                <a:extLst>
                  <a:ext uri="{FF2B5EF4-FFF2-40B4-BE49-F238E27FC236}">
                    <a16:creationId xmlns:a16="http://schemas.microsoft.com/office/drawing/2014/main" id="{00000000-0008-0000-1100-0000C2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9" name="Freeform 1126">
                <a:extLst>
                  <a:ext uri="{FF2B5EF4-FFF2-40B4-BE49-F238E27FC236}">
                    <a16:creationId xmlns:a16="http://schemas.microsoft.com/office/drawing/2014/main" id="{00000000-0008-0000-1100-0000C3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40" name="Freeform 1127">
                <a:extLst>
                  <a:ext uri="{FF2B5EF4-FFF2-40B4-BE49-F238E27FC236}">
                    <a16:creationId xmlns:a16="http://schemas.microsoft.com/office/drawing/2014/main" id="{00000000-0008-0000-1100-0000C4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41" name="Freeform 1128">
                <a:extLst>
                  <a:ext uri="{FF2B5EF4-FFF2-40B4-BE49-F238E27FC236}">
                    <a16:creationId xmlns:a16="http://schemas.microsoft.com/office/drawing/2014/main" id="{00000000-0008-0000-1100-0000C5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5" name="Group 1129">
              <a:extLst>
                <a:ext uri="{FF2B5EF4-FFF2-40B4-BE49-F238E27FC236}">
                  <a16:creationId xmlns:a16="http://schemas.microsoft.com/office/drawing/2014/main" id="{00000000-0008-0000-1100-000025300000}"/>
                </a:ext>
              </a:extLst>
            </xdr:cNvPr>
            <xdr:cNvGrpSpPr>
              <a:grpSpLocks/>
            </xdr:cNvGrpSpPr>
          </xdr:nvGrpSpPr>
          <xdr:grpSpPr bwMode="auto">
            <a:xfrm>
              <a:off x="5056065" y="4114312"/>
              <a:ext cx="161925" cy="168275"/>
              <a:chOff x="646" y="934"/>
              <a:chExt cx="17" cy="18"/>
            </a:xfrm>
          </xdr:grpSpPr>
          <xdr:sp macro="" textlink="">
            <xdr:nvSpPr>
              <xdr:cNvPr id="12732" name="Freeform 1130">
                <a:extLst>
                  <a:ext uri="{FF2B5EF4-FFF2-40B4-BE49-F238E27FC236}">
                    <a16:creationId xmlns:a16="http://schemas.microsoft.com/office/drawing/2014/main" id="{00000000-0008-0000-1100-0000BC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3" name="Freeform 1131">
                <a:extLst>
                  <a:ext uri="{FF2B5EF4-FFF2-40B4-BE49-F238E27FC236}">
                    <a16:creationId xmlns:a16="http://schemas.microsoft.com/office/drawing/2014/main" id="{00000000-0008-0000-1100-0000BD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4" name="Freeform 1132">
                <a:extLst>
                  <a:ext uri="{FF2B5EF4-FFF2-40B4-BE49-F238E27FC236}">
                    <a16:creationId xmlns:a16="http://schemas.microsoft.com/office/drawing/2014/main" id="{00000000-0008-0000-1100-0000BE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35" name="Freeform 1133">
                <a:extLst>
                  <a:ext uri="{FF2B5EF4-FFF2-40B4-BE49-F238E27FC236}">
                    <a16:creationId xmlns:a16="http://schemas.microsoft.com/office/drawing/2014/main" id="{00000000-0008-0000-1100-0000BF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36" name="Freeform 1134">
                <a:extLst>
                  <a:ext uri="{FF2B5EF4-FFF2-40B4-BE49-F238E27FC236}">
                    <a16:creationId xmlns:a16="http://schemas.microsoft.com/office/drawing/2014/main" id="{00000000-0008-0000-1100-0000C0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sp macro="" textlink="">
          <xdr:nvSpPr>
            <xdr:cNvPr id="12326" name="Line 1135">
              <a:extLst>
                <a:ext uri="{FF2B5EF4-FFF2-40B4-BE49-F238E27FC236}">
                  <a16:creationId xmlns:a16="http://schemas.microsoft.com/office/drawing/2014/main" id="{00000000-0008-0000-1100-000026300000}"/>
                </a:ext>
              </a:extLst>
            </xdr:cNvPr>
            <xdr:cNvSpPr>
              <a:spLocks noChangeShapeType="1"/>
            </xdr:cNvSpPr>
          </xdr:nvSpPr>
          <xdr:spPr bwMode="auto">
            <a:xfrm>
              <a:off x="658202" y="7717937"/>
              <a:ext cx="3634886" cy="0"/>
            </a:xfrm>
            <a:prstGeom prst="line">
              <a:avLst/>
            </a:prstGeom>
            <a:noFill/>
            <a:ln w="28575">
              <a:solidFill>
                <a:srgbClr val="0000FF"/>
              </a:solidFill>
              <a:round/>
              <a:headEnd/>
              <a:tailEnd/>
            </a:ln>
          </xdr:spPr>
        </xdr:sp>
        <xdr:sp macro="" textlink="">
          <xdr:nvSpPr>
            <xdr:cNvPr id="12327" name="Line 1136">
              <a:extLst>
                <a:ext uri="{FF2B5EF4-FFF2-40B4-BE49-F238E27FC236}">
                  <a16:creationId xmlns:a16="http://schemas.microsoft.com/office/drawing/2014/main" id="{00000000-0008-0000-1100-000027300000}"/>
                </a:ext>
              </a:extLst>
            </xdr:cNvPr>
            <xdr:cNvSpPr>
              <a:spLocks noChangeShapeType="1"/>
            </xdr:cNvSpPr>
          </xdr:nvSpPr>
          <xdr:spPr bwMode="auto">
            <a:xfrm>
              <a:off x="2298456" y="7651262"/>
              <a:ext cx="353402" cy="0"/>
            </a:xfrm>
            <a:prstGeom prst="line">
              <a:avLst/>
            </a:prstGeom>
            <a:noFill/>
            <a:ln w="28575">
              <a:solidFill>
                <a:srgbClr val="0000FF"/>
              </a:solidFill>
              <a:round/>
              <a:headEnd/>
              <a:tailEnd/>
            </a:ln>
          </xdr:spPr>
        </xdr:sp>
        <xdr:sp macro="" textlink="">
          <xdr:nvSpPr>
            <xdr:cNvPr id="12328" name="Line 1137">
              <a:extLst>
                <a:ext uri="{FF2B5EF4-FFF2-40B4-BE49-F238E27FC236}">
                  <a16:creationId xmlns:a16="http://schemas.microsoft.com/office/drawing/2014/main" id="{00000000-0008-0000-1100-000028300000}"/>
                </a:ext>
              </a:extLst>
            </xdr:cNvPr>
            <xdr:cNvSpPr>
              <a:spLocks noChangeShapeType="1"/>
            </xdr:cNvSpPr>
          </xdr:nvSpPr>
          <xdr:spPr bwMode="auto">
            <a:xfrm>
              <a:off x="629627" y="7651262"/>
              <a:ext cx="333375" cy="0"/>
            </a:xfrm>
            <a:prstGeom prst="line">
              <a:avLst/>
            </a:prstGeom>
            <a:noFill/>
            <a:ln w="28575">
              <a:solidFill>
                <a:srgbClr val="0000FF"/>
              </a:solidFill>
              <a:round/>
              <a:headEnd/>
              <a:tailEnd/>
            </a:ln>
          </xdr:spPr>
        </xdr:sp>
        <xdr:sp macro="" textlink="">
          <xdr:nvSpPr>
            <xdr:cNvPr id="12329" name="Line 1138">
              <a:extLst>
                <a:ext uri="{FF2B5EF4-FFF2-40B4-BE49-F238E27FC236}">
                  <a16:creationId xmlns:a16="http://schemas.microsoft.com/office/drawing/2014/main" id="{00000000-0008-0000-1100-000029300000}"/>
                </a:ext>
              </a:extLst>
            </xdr:cNvPr>
            <xdr:cNvSpPr>
              <a:spLocks noChangeShapeType="1"/>
            </xdr:cNvSpPr>
          </xdr:nvSpPr>
          <xdr:spPr bwMode="auto">
            <a:xfrm>
              <a:off x="3977787" y="7651262"/>
              <a:ext cx="353401" cy="0"/>
            </a:xfrm>
            <a:prstGeom prst="line">
              <a:avLst/>
            </a:prstGeom>
            <a:noFill/>
            <a:ln w="28575">
              <a:solidFill>
                <a:srgbClr val="0000FF"/>
              </a:solidFill>
              <a:round/>
              <a:headEnd/>
              <a:tailEnd/>
            </a:ln>
          </xdr:spPr>
        </xdr:sp>
        <xdr:sp macro="" textlink="">
          <xdr:nvSpPr>
            <xdr:cNvPr id="12330" name="Line 1139">
              <a:extLst>
                <a:ext uri="{FF2B5EF4-FFF2-40B4-BE49-F238E27FC236}">
                  <a16:creationId xmlns:a16="http://schemas.microsoft.com/office/drawing/2014/main" id="{00000000-0008-0000-1100-00002A300000}"/>
                </a:ext>
              </a:extLst>
            </xdr:cNvPr>
            <xdr:cNvSpPr>
              <a:spLocks noChangeShapeType="1"/>
            </xdr:cNvSpPr>
          </xdr:nvSpPr>
          <xdr:spPr bwMode="auto">
            <a:xfrm flipV="1">
              <a:off x="715352" y="7651262"/>
              <a:ext cx="0" cy="66675"/>
            </a:xfrm>
            <a:prstGeom prst="line">
              <a:avLst/>
            </a:prstGeom>
            <a:noFill/>
            <a:ln w="28575">
              <a:solidFill>
                <a:srgbClr val="0000FF"/>
              </a:solidFill>
              <a:round/>
              <a:headEnd/>
              <a:tailEnd/>
            </a:ln>
          </xdr:spPr>
        </xdr:sp>
        <xdr:sp macro="" textlink="">
          <xdr:nvSpPr>
            <xdr:cNvPr id="12331" name="Line 1140">
              <a:extLst>
                <a:ext uri="{FF2B5EF4-FFF2-40B4-BE49-F238E27FC236}">
                  <a16:creationId xmlns:a16="http://schemas.microsoft.com/office/drawing/2014/main" id="{00000000-0008-0000-1100-00002B300000}"/>
                </a:ext>
              </a:extLst>
            </xdr:cNvPr>
            <xdr:cNvSpPr>
              <a:spLocks noChangeShapeType="1"/>
            </xdr:cNvSpPr>
          </xdr:nvSpPr>
          <xdr:spPr bwMode="auto">
            <a:xfrm flipV="1">
              <a:off x="867752" y="7651262"/>
              <a:ext cx="0" cy="66675"/>
            </a:xfrm>
            <a:prstGeom prst="line">
              <a:avLst/>
            </a:prstGeom>
            <a:noFill/>
            <a:ln w="28575">
              <a:solidFill>
                <a:srgbClr val="0000FF"/>
              </a:solidFill>
              <a:round/>
              <a:headEnd/>
              <a:tailEnd/>
            </a:ln>
          </xdr:spPr>
        </xdr:sp>
        <xdr:sp macro="" textlink="">
          <xdr:nvSpPr>
            <xdr:cNvPr id="12332" name="Line 1141">
              <a:extLst>
                <a:ext uri="{FF2B5EF4-FFF2-40B4-BE49-F238E27FC236}">
                  <a16:creationId xmlns:a16="http://schemas.microsoft.com/office/drawing/2014/main" id="{00000000-0008-0000-1100-00002C300000}"/>
                </a:ext>
              </a:extLst>
            </xdr:cNvPr>
            <xdr:cNvSpPr>
              <a:spLocks noChangeShapeType="1"/>
            </xdr:cNvSpPr>
          </xdr:nvSpPr>
          <xdr:spPr bwMode="auto">
            <a:xfrm flipV="1">
              <a:off x="4073037" y="7651262"/>
              <a:ext cx="0" cy="66675"/>
            </a:xfrm>
            <a:prstGeom prst="line">
              <a:avLst/>
            </a:prstGeom>
            <a:noFill/>
            <a:ln w="28575">
              <a:solidFill>
                <a:srgbClr val="0000FF"/>
              </a:solidFill>
              <a:round/>
              <a:headEnd/>
              <a:tailEnd/>
            </a:ln>
          </xdr:spPr>
        </xdr:sp>
        <xdr:sp macro="" textlink="">
          <xdr:nvSpPr>
            <xdr:cNvPr id="12333" name="Line 1142">
              <a:extLst>
                <a:ext uri="{FF2B5EF4-FFF2-40B4-BE49-F238E27FC236}">
                  <a16:creationId xmlns:a16="http://schemas.microsoft.com/office/drawing/2014/main" id="{00000000-0008-0000-1100-00002D300000}"/>
                </a:ext>
              </a:extLst>
            </xdr:cNvPr>
            <xdr:cNvSpPr>
              <a:spLocks noChangeShapeType="1"/>
            </xdr:cNvSpPr>
          </xdr:nvSpPr>
          <xdr:spPr bwMode="auto">
            <a:xfrm flipV="1">
              <a:off x="4225437" y="7651262"/>
              <a:ext cx="0" cy="66675"/>
            </a:xfrm>
            <a:prstGeom prst="line">
              <a:avLst/>
            </a:prstGeom>
            <a:noFill/>
            <a:ln w="28575">
              <a:solidFill>
                <a:srgbClr val="0000FF"/>
              </a:solidFill>
              <a:round/>
              <a:headEnd/>
              <a:tailEnd/>
            </a:ln>
          </xdr:spPr>
        </xdr:sp>
        <xdr:sp macro="" textlink="">
          <xdr:nvSpPr>
            <xdr:cNvPr id="12334" name="Line 1143">
              <a:extLst>
                <a:ext uri="{FF2B5EF4-FFF2-40B4-BE49-F238E27FC236}">
                  <a16:creationId xmlns:a16="http://schemas.microsoft.com/office/drawing/2014/main" id="{00000000-0008-0000-1100-00002E300000}"/>
                </a:ext>
              </a:extLst>
            </xdr:cNvPr>
            <xdr:cNvSpPr>
              <a:spLocks noChangeShapeType="1"/>
            </xdr:cNvSpPr>
          </xdr:nvSpPr>
          <xdr:spPr bwMode="auto">
            <a:xfrm flipV="1">
              <a:off x="2393706" y="7641737"/>
              <a:ext cx="0" cy="66675"/>
            </a:xfrm>
            <a:prstGeom prst="line">
              <a:avLst/>
            </a:prstGeom>
            <a:noFill/>
            <a:ln w="28575">
              <a:solidFill>
                <a:srgbClr val="0000FF"/>
              </a:solidFill>
              <a:round/>
              <a:headEnd/>
              <a:tailEnd/>
            </a:ln>
          </xdr:spPr>
        </xdr:sp>
        <xdr:sp macro="" textlink="">
          <xdr:nvSpPr>
            <xdr:cNvPr id="12335" name="Line 1144">
              <a:extLst>
                <a:ext uri="{FF2B5EF4-FFF2-40B4-BE49-F238E27FC236}">
                  <a16:creationId xmlns:a16="http://schemas.microsoft.com/office/drawing/2014/main" id="{00000000-0008-0000-1100-00002F300000}"/>
                </a:ext>
              </a:extLst>
            </xdr:cNvPr>
            <xdr:cNvSpPr>
              <a:spLocks noChangeShapeType="1"/>
            </xdr:cNvSpPr>
          </xdr:nvSpPr>
          <xdr:spPr bwMode="auto">
            <a:xfrm flipV="1">
              <a:off x="2547083" y="7641737"/>
              <a:ext cx="0" cy="66675"/>
            </a:xfrm>
            <a:prstGeom prst="line">
              <a:avLst/>
            </a:prstGeom>
            <a:noFill/>
            <a:ln w="28575">
              <a:solidFill>
                <a:srgbClr val="0000FF"/>
              </a:solidFill>
              <a:round/>
              <a:headEnd/>
              <a:tailEnd/>
            </a:ln>
          </xdr:spPr>
        </xdr:sp>
        <xdr:grpSp>
          <xdr:nvGrpSpPr>
            <xdr:cNvPr id="12336" name="Group 1145">
              <a:extLst>
                <a:ext uri="{FF2B5EF4-FFF2-40B4-BE49-F238E27FC236}">
                  <a16:creationId xmlns:a16="http://schemas.microsoft.com/office/drawing/2014/main" id="{00000000-0008-0000-1100-000030300000}"/>
                </a:ext>
              </a:extLst>
            </xdr:cNvPr>
            <xdr:cNvGrpSpPr>
              <a:grpSpLocks/>
            </xdr:cNvGrpSpPr>
          </xdr:nvGrpSpPr>
          <xdr:grpSpPr bwMode="auto">
            <a:xfrm>
              <a:off x="5704742" y="6178062"/>
              <a:ext cx="390525" cy="279400"/>
              <a:chOff x="595" y="629"/>
              <a:chExt cx="59" cy="30"/>
            </a:xfrm>
          </xdr:grpSpPr>
          <xdr:sp macro="" textlink="">
            <xdr:nvSpPr>
              <xdr:cNvPr id="12730" name="Rectangle 1146" descr="Wide downward diagonal">
                <a:extLst>
                  <a:ext uri="{FF2B5EF4-FFF2-40B4-BE49-F238E27FC236}">
                    <a16:creationId xmlns:a16="http://schemas.microsoft.com/office/drawing/2014/main" id="{00000000-0008-0000-1100-0000BA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731" name="Rectangle 1147">
                <a:extLst>
                  <a:ext uri="{FF2B5EF4-FFF2-40B4-BE49-F238E27FC236}">
                    <a16:creationId xmlns:a16="http://schemas.microsoft.com/office/drawing/2014/main" id="{00000000-0008-0000-1100-0000BB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337" name="Line 1148">
              <a:extLst>
                <a:ext uri="{FF2B5EF4-FFF2-40B4-BE49-F238E27FC236}">
                  <a16:creationId xmlns:a16="http://schemas.microsoft.com/office/drawing/2014/main" id="{00000000-0008-0000-1100-000031300000}"/>
                </a:ext>
              </a:extLst>
            </xdr:cNvPr>
            <xdr:cNvSpPr>
              <a:spLocks noChangeShapeType="1"/>
            </xdr:cNvSpPr>
          </xdr:nvSpPr>
          <xdr:spPr bwMode="auto">
            <a:xfrm>
              <a:off x="5552342" y="7708412"/>
              <a:ext cx="3815862" cy="0"/>
            </a:xfrm>
            <a:prstGeom prst="line">
              <a:avLst/>
            </a:prstGeom>
            <a:noFill/>
            <a:ln w="19050">
              <a:solidFill>
                <a:srgbClr val="0000FF"/>
              </a:solidFill>
              <a:round/>
              <a:headEnd/>
              <a:tailEnd/>
            </a:ln>
          </xdr:spPr>
        </xdr:sp>
        <xdr:sp macro="" textlink="">
          <xdr:nvSpPr>
            <xdr:cNvPr id="12338" name="Line 1149">
              <a:extLst>
                <a:ext uri="{FF2B5EF4-FFF2-40B4-BE49-F238E27FC236}">
                  <a16:creationId xmlns:a16="http://schemas.microsoft.com/office/drawing/2014/main" id="{00000000-0008-0000-1100-000032300000}"/>
                </a:ext>
              </a:extLst>
            </xdr:cNvPr>
            <xdr:cNvSpPr>
              <a:spLocks noChangeShapeType="1"/>
            </xdr:cNvSpPr>
          </xdr:nvSpPr>
          <xdr:spPr bwMode="auto">
            <a:xfrm>
              <a:off x="7985125" y="7641737"/>
              <a:ext cx="314325" cy="0"/>
            </a:xfrm>
            <a:prstGeom prst="line">
              <a:avLst/>
            </a:prstGeom>
            <a:noFill/>
            <a:ln w="19050">
              <a:solidFill>
                <a:srgbClr val="0000FF"/>
              </a:solidFill>
              <a:round/>
              <a:headEnd/>
              <a:tailEnd/>
            </a:ln>
          </xdr:spPr>
        </xdr:sp>
        <xdr:sp macro="" textlink="">
          <xdr:nvSpPr>
            <xdr:cNvPr id="12339" name="Line 1150">
              <a:extLst>
                <a:ext uri="{FF2B5EF4-FFF2-40B4-BE49-F238E27FC236}">
                  <a16:creationId xmlns:a16="http://schemas.microsoft.com/office/drawing/2014/main" id="{00000000-0008-0000-1100-000033300000}"/>
                </a:ext>
              </a:extLst>
            </xdr:cNvPr>
            <xdr:cNvSpPr>
              <a:spLocks noChangeShapeType="1"/>
            </xdr:cNvSpPr>
          </xdr:nvSpPr>
          <xdr:spPr bwMode="auto">
            <a:xfrm>
              <a:off x="6754446" y="7641737"/>
              <a:ext cx="314325" cy="0"/>
            </a:xfrm>
            <a:prstGeom prst="line">
              <a:avLst/>
            </a:prstGeom>
            <a:noFill/>
            <a:ln w="19050">
              <a:solidFill>
                <a:srgbClr val="0000FF"/>
              </a:solidFill>
              <a:round/>
              <a:headEnd/>
              <a:tailEnd/>
            </a:ln>
          </xdr:spPr>
        </xdr:sp>
        <xdr:sp macro="" textlink="">
          <xdr:nvSpPr>
            <xdr:cNvPr id="12340" name="Line 1151">
              <a:extLst>
                <a:ext uri="{FF2B5EF4-FFF2-40B4-BE49-F238E27FC236}">
                  <a16:creationId xmlns:a16="http://schemas.microsoft.com/office/drawing/2014/main" id="{00000000-0008-0000-1100-000034300000}"/>
                </a:ext>
              </a:extLst>
            </xdr:cNvPr>
            <xdr:cNvSpPr>
              <a:spLocks noChangeShapeType="1"/>
            </xdr:cNvSpPr>
          </xdr:nvSpPr>
          <xdr:spPr bwMode="auto">
            <a:xfrm>
              <a:off x="5638067" y="7632212"/>
              <a:ext cx="314325" cy="0"/>
            </a:xfrm>
            <a:prstGeom prst="line">
              <a:avLst/>
            </a:prstGeom>
            <a:noFill/>
            <a:ln w="19050">
              <a:solidFill>
                <a:srgbClr val="0000FF"/>
              </a:solidFill>
              <a:round/>
              <a:headEnd/>
              <a:tailEnd/>
            </a:ln>
          </xdr:spPr>
        </xdr:sp>
        <xdr:sp macro="" textlink="">
          <xdr:nvSpPr>
            <xdr:cNvPr id="12341" name="Line 1152">
              <a:extLst>
                <a:ext uri="{FF2B5EF4-FFF2-40B4-BE49-F238E27FC236}">
                  <a16:creationId xmlns:a16="http://schemas.microsoft.com/office/drawing/2014/main" id="{00000000-0008-0000-1100-000035300000}"/>
                </a:ext>
              </a:extLst>
            </xdr:cNvPr>
            <xdr:cNvSpPr>
              <a:spLocks noChangeShapeType="1"/>
            </xdr:cNvSpPr>
          </xdr:nvSpPr>
          <xdr:spPr bwMode="auto">
            <a:xfrm>
              <a:off x="9062427" y="7641737"/>
              <a:ext cx="315302" cy="0"/>
            </a:xfrm>
            <a:prstGeom prst="line">
              <a:avLst/>
            </a:prstGeom>
            <a:noFill/>
            <a:ln w="19050">
              <a:solidFill>
                <a:srgbClr val="0000FF"/>
              </a:solidFill>
              <a:round/>
              <a:headEnd/>
              <a:tailEnd/>
            </a:ln>
          </xdr:spPr>
        </xdr:sp>
        <xdr:sp macro="" textlink="">
          <xdr:nvSpPr>
            <xdr:cNvPr id="12342" name="Line 1153">
              <a:extLst>
                <a:ext uri="{FF2B5EF4-FFF2-40B4-BE49-F238E27FC236}">
                  <a16:creationId xmlns:a16="http://schemas.microsoft.com/office/drawing/2014/main" id="{00000000-0008-0000-1100-000036300000}"/>
                </a:ext>
              </a:extLst>
            </xdr:cNvPr>
            <xdr:cNvSpPr>
              <a:spLocks noChangeShapeType="1"/>
            </xdr:cNvSpPr>
          </xdr:nvSpPr>
          <xdr:spPr bwMode="auto">
            <a:xfrm flipH="1" flipV="1">
              <a:off x="5638067" y="7616337"/>
              <a:ext cx="0" cy="92075"/>
            </a:xfrm>
            <a:prstGeom prst="line">
              <a:avLst/>
            </a:prstGeom>
            <a:noFill/>
            <a:ln w="19050">
              <a:solidFill>
                <a:srgbClr val="0000FF"/>
              </a:solidFill>
              <a:round/>
              <a:headEnd/>
              <a:tailEnd/>
            </a:ln>
          </xdr:spPr>
        </xdr:sp>
        <xdr:sp macro="" textlink="">
          <xdr:nvSpPr>
            <xdr:cNvPr id="12343" name="AutoShape 1154">
              <a:extLst>
                <a:ext uri="{FF2B5EF4-FFF2-40B4-BE49-F238E27FC236}">
                  <a16:creationId xmlns:a16="http://schemas.microsoft.com/office/drawing/2014/main" id="{00000000-0008-0000-1100-000037300000}"/>
                </a:ext>
              </a:extLst>
            </xdr:cNvPr>
            <xdr:cNvSpPr>
              <a:spLocks noChangeArrowheads="1"/>
            </xdr:cNvSpPr>
          </xdr:nvSpPr>
          <xdr:spPr bwMode="auto">
            <a:xfrm flipH="1">
              <a:off x="7365023" y="6457462"/>
              <a:ext cx="371475" cy="73025"/>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344" name="AutoShape 1156">
              <a:extLst>
                <a:ext uri="{FF2B5EF4-FFF2-40B4-BE49-F238E27FC236}">
                  <a16:creationId xmlns:a16="http://schemas.microsoft.com/office/drawing/2014/main" id="{00000000-0008-0000-1100-000038300000}"/>
                </a:ext>
              </a:extLst>
            </xdr:cNvPr>
            <xdr:cNvSpPr>
              <a:spLocks noChangeArrowheads="1"/>
            </xdr:cNvSpPr>
          </xdr:nvSpPr>
          <xdr:spPr bwMode="auto">
            <a:xfrm rot="10800000" flipH="1">
              <a:off x="8470900" y="7625862"/>
              <a:ext cx="372452" cy="73025"/>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345" name="AutoShape 1158">
              <a:extLst>
                <a:ext uri="{FF2B5EF4-FFF2-40B4-BE49-F238E27FC236}">
                  <a16:creationId xmlns:a16="http://schemas.microsoft.com/office/drawing/2014/main" id="{00000000-0008-0000-1100-000039300000}"/>
                </a:ext>
              </a:extLst>
            </xdr:cNvPr>
            <xdr:cNvSpPr>
              <a:spLocks noChangeArrowheads="1"/>
            </xdr:cNvSpPr>
          </xdr:nvSpPr>
          <xdr:spPr bwMode="auto">
            <a:xfrm>
              <a:off x="5638067" y="6530487"/>
              <a:ext cx="3787287" cy="1095375"/>
            </a:xfrm>
            <a:prstGeom prst="roundRect">
              <a:avLst>
                <a:gd name="adj" fmla="val 4917"/>
              </a:avLst>
            </a:prstGeom>
            <a:noFill/>
            <a:ln w="19050">
              <a:solidFill>
                <a:srgbClr val="993366"/>
              </a:solidFill>
              <a:round/>
              <a:headEnd/>
              <a:tailEnd/>
            </a:ln>
          </xdr:spPr>
        </xdr:sp>
        <xdr:grpSp>
          <xdr:nvGrpSpPr>
            <xdr:cNvPr id="12346" name="Group 1159">
              <a:extLst>
                <a:ext uri="{FF2B5EF4-FFF2-40B4-BE49-F238E27FC236}">
                  <a16:creationId xmlns:a16="http://schemas.microsoft.com/office/drawing/2014/main" id="{00000000-0008-0000-1100-00003A300000}"/>
                </a:ext>
              </a:extLst>
            </xdr:cNvPr>
            <xdr:cNvGrpSpPr>
              <a:grpSpLocks/>
            </xdr:cNvGrpSpPr>
          </xdr:nvGrpSpPr>
          <xdr:grpSpPr bwMode="auto">
            <a:xfrm>
              <a:off x="6629644" y="6698762"/>
              <a:ext cx="572477" cy="263525"/>
              <a:chOff x="692" y="685"/>
              <a:chExt cx="60" cy="28"/>
            </a:xfrm>
          </xdr:grpSpPr>
          <xdr:grpSp>
            <xdr:nvGrpSpPr>
              <xdr:cNvPr id="12720" name="Group 1160">
                <a:extLst>
                  <a:ext uri="{FF2B5EF4-FFF2-40B4-BE49-F238E27FC236}">
                    <a16:creationId xmlns:a16="http://schemas.microsoft.com/office/drawing/2014/main" id="{00000000-0008-0000-1100-0000B0310000}"/>
                  </a:ext>
                </a:extLst>
              </xdr:cNvPr>
              <xdr:cNvGrpSpPr>
                <a:grpSpLocks/>
              </xdr:cNvGrpSpPr>
            </xdr:nvGrpSpPr>
            <xdr:grpSpPr bwMode="auto">
              <a:xfrm>
                <a:off x="692" y="685"/>
                <a:ext cx="60" cy="28"/>
                <a:chOff x="692" y="685"/>
                <a:chExt cx="60" cy="28"/>
              </a:xfrm>
            </xdr:grpSpPr>
            <xdr:sp macro="" textlink="">
              <xdr:nvSpPr>
                <xdr:cNvPr id="12725" name="Oval 1161">
                  <a:extLst>
                    <a:ext uri="{FF2B5EF4-FFF2-40B4-BE49-F238E27FC236}">
                      <a16:creationId xmlns:a16="http://schemas.microsoft.com/office/drawing/2014/main" id="{00000000-0008-0000-1100-0000B5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726" name="Oval 1162">
                  <a:extLst>
                    <a:ext uri="{FF2B5EF4-FFF2-40B4-BE49-F238E27FC236}">
                      <a16:creationId xmlns:a16="http://schemas.microsoft.com/office/drawing/2014/main" id="{00000000-0008-0000-1100-0000B6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727" name="Rectangle 1163">
                  <a:extLst>
                    <a:ext uri="{FF2B5EF4-FFF2-40B4-BE49-F238E27FC236}">
                      <a16:creationId xmlns:a16="http://schemas.microsoft.com/office/drawing/2014/main" id="{00000000-0008-0000-1100-0000B7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728" name="Line 1164">
                  <a:extLst>
                    <a:ext uri="{FF2B5EF4-FFF2-40B4-BE49-F238E27FC236}">
                      <a16:creationId xmlns:a16="http://schemas.microsoft.com/office/drawing/2014/main" id="{00000000-0008-0000-1100-0000B8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729" name="Line 1165">
                  <a:extLst>
                    <a:ext uri="{FF2B5EF4-FFF2-40B4-BE49-F238E27FC236}">
                      <a16:creationId xmlns:a16="http://schemas.microsoft.com/office/drawing/2014/main" id="{00000000-0008-0000-1100-0000B9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721" name="AutoShape 1166">
                <a:extLst>
                  <a:ext uri="{FF2B5EF4-FFF2-40B4-BE49-F238E27FC236}">
                    <a16:creationId xmlns:a16="http://schemas.microsoft.com/office/drawing/2014/main" id="{00000000-0008-0000-1100-0000B1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22" name="Oval 1167">
                <a:extLst>
                  <a:ext uri="{FF2B5EF4-FFF2-40B4-BE49-F238E27FC236}">
                    <a16:creationId xmlns:a16="http://schemas.microsoft.com/office/drawing/2014/main" id="{00000000-0008-0000-1100-0000B2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723" name="AutoShape 1168">
                <a:extLst>
                  <a:ext uri="{FF2B5EF4-FFF2-40B4-BE49-F238E27FC236}">
                    <a16:creationId xmlns:a16="http://schemas.microsoft.com/office/drawing/2014/main" id="{00000000-0008-0000-1100-0000B3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24" name="Oval 1169">
                <a:extLst>
                  <a:ext uri="{FF2B5EF4-FFF2-40B4-BE49-F238E27FC236}">
                    <a16:creationId xmlns:a16="http://schemas.microsoft.com/office/drawing/2014/main" id="{00000000-0008-0000-1100-0000B4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grpSp>
          <xdr:nvGrpSpPr>
            <xdr:cNvPr id="12347" name="Group 1170">
              <a:extLst>
                <a:ext uri="{FF2B5EF4-FFF2-40B4-BE49-F238E27FC236}">
                  <a16:creationId xmlns:a16="http://schemas.microsoft.com/office/drawing/2014/main" id="{00000000-0008-0000-1100-00003B300000}"/>
                </a:ext>
              </a:extLst>
            </xdr:cNvPr>
            <xdr:cNvGrpSpPr>
              <a:grpSpLocks/>
            </xdr:cNvGrpSpPr>
          </xdr:nvGrpSpPr>
          <xdr:grpSpPr bwMode="auto">
            <a:xfrm>
              <a:off x="7860323" y="6698762"/>
              <a:ext cx="572477" cy="263525"/>
              <a:chOff x="692" y="685"/>
              <a:chExt cx="60" cy="28"/>
            </a:xfrm>
          </xdr:grpSpPr>
          <xdr:grpSp>
            <xdr:nvGrpSpPr>
              <xdr:cNvPr id="12710" name="Group 1171">
                <a:extLst>
                  <a:ext uri="{FF2B5EF4-FFF2-40B4-BE49-F238E27FC236}">
                    <a16:creationId xmlns:a16="http://schemas.microsoft.com/office/drawing/2014/main" id="{00000000-0008-0000-1100-0000A6310000}"/>
                  </a:ext>
                </a:extLst>
              </xdr:cNvPr>
              <xdr:cNvGrpSpPr>
                <a:grpSpLocks/>
              </xdr:cNvGrpSpPr>
            </xdr:nvGrpSpPr>
            <xdr:grpSpPr bwMode="auto">
              <a:xfrm>
                <a:off x="692" y="685"/>
                <a:ext cx="60" cy="28"/>
                <a:chOff x="692" y="685"/>
                <a:chExt cx="60" cy="28"/>
              </a:xfrm>
            </xdr:grpSpPr>
            <xdr:sp macro="" textlink="">
              <xdr:nvSpPr>
                <xdr:cNvPr id="12715" name="Oval 1172">
                  <a:extLst>
                    <a:ext uri="{FF2B5EF4-FFF2-40B4-BE49-F238E27FC236}">
                      <a16:creationId xmlns:a16="http://schemas.microsoft.com/office/drawing/2014/main" id="{00000000-0008-0000-1100-0000AB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716" name="Oval 1173">
                  <a:extLst>
                    <a:ext uri="{FF2B5EF4-FFF2-40B4-BE49-F238E27FC236}">
                      <a16:creationId xmlns:a16="http://schemas.microsoft.com/office/drawing/2014/main" id="{00000000-0008-0000-1100-0000AC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717" name="Rectangle 1174">
                  <a:extLst>
                    <a:ext uri="{FF2B5EF4-FFF2-40B4-BE49-F238E27FC236}">
                      <a16:creationId xmlns:a16="http://schemas.microsoft.com/office/drawing/2014/main" id="{00000000-0008-0000-1100-0000AD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718" name="Line 1175">
                  <a:extLst>
                    <a:ext uri="{FF2B5EF4-FFF2-40B4-BE49-F238E27FC236}">
                      <a16:creationId xmlns:a16="http://schemas.microsoft.com/office/drawing/2014/main" id="{00000000-0008-0000-1100-0000AE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719" name="Line 1176">
                  <a:extLst>
                    <a:ext uri="{FF2B5EF4-FFF2-40B4-BE49-F238E27FC236}">
                      <a16:creationId xmlns:a16="http://schemas.microsoft.com/office/drawing/2014/main" id="{00000000-0008-0000-1100-0000AF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711" name="AutoShape 1177">
                <a:extLst>
                  <a:ext uri="{FF2B5EF4-FFF2-40B4-BE49-F238E27FC236}">
                    <a16:creationId xmlns:a16="http://schemas.microsoft.com/office/drawing/2014/main" id="{00000000-0008-0000-1100-0000A7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12" name="Oval 1178">
                <a:extLst>
                  <a:ext uri="{FF2B5EF4-FFF2-40B4-BE49-F238E27FC236}">
                    <a16:creationId xmlns:a16="http://schemas.microsoft.com/office/drawing/2014/main" id="{00000000-0008-0000-1100-0000A8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713" name="AutoShape 1179">
                <a:extLst>
                  <a:ext uri="{FF2B5EF4-FFF2-40B4-BE49-F238E27FC236}">
                    <a16:creationId xmlns:a16="http://schemas.microsoft.com/office/drawing/2014/main" id="{00000000-0008-0000-1100-0000A9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14" name="Oval 1180">
                <a:extLst>
                  <a:ext uri="{FF2B5EF4-FFF2-40B4-BE49-F238E27FC236}">
                    <a16:creationId xmlns:a16="http://schemas.microsoft.com/office/drawing/2014/main" id="{00000000-0008-0000-1100-0000AA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sp macro="" textlink="">
          <xdr:nvSpPr>
            <xdr:cNvPr id="12348" name="Line 1181">
              <a:extLst>
                <a:ext uri="{FF2B5EF4-FFF2-40B4-BE49-F238E27FC236}">
                  <a16:creationId xmlns:a16="http://schemas.microsoft.com/office/drawing/2014/main" id="{00000000-0008-0000-1100-00003C300000}"/>
                </a:ext>
              </a:extLst>
            </xdr:cNvPr>
            <xdr:cNvSpPr>
              <a:spLocks noChangeShapeType="1"/>
            </xdr:cNvSpPr>
          </xdr:nvSpPr>
          <xdr:spPr bwMode="auto">
            <a:xfrm>
              <a:off x="6906846" y="7641737"/>
              <a:ext cx="0" cy="76200"/>
            </a:xfrm>
            <a:prstGeom prst="line">
              <a:avLst/>
            </a:prstGeom>
            <a:noFill/>
            <a:ln w="19050">
              <a:solidFill>
                <a:srgbClr val="0000FF"/>
              </a:solidFill>
              <a:prstDash val="sysDot"/>
              <a:round/>
              <a:headEnd/>
              <a:tailEnd/>
            </a:ln>
          </xdr:spPr>
        </xdr:sp>
        <xdr:sp macro="" textlink="">
          <xdr:nvSpPr>
            <xdr:cNvPr id="12349" name="Line 1182">
              <a:extLst>
                <a:ext uri="{FF2B5EF4-FFF2-40B4-BE49-F238E27FC236}">
                  <a16:creationId xmlns:a16="http://schemas.microsoft.com/office/drawing/2014/main" id="{00000000-0008-0000-1100-00003D300000}"/>
                </a:ext>
              </a:extLst>
            </xdr:cNvPr>
            <xdr:cNvSpPr>
              <a:spLocks noChangeShapeType="1"/>
            </xdr:cNvSpPr>
          </xdr:nvSpPr>
          <xdr:spPr bwMode="auto">
            <a:xfrm>
              <a:off x="8137525" y="7641737"/>
              <a:ext cx="0" cy="76200"/>
            </a:xfrm>
            <a:prstGeom prst="line">
              <a:avLst/>
            </a:prstGeom>
            <a:noFill/>
            <a:ln w="19050">
              <a:solidFill>
                <a:srgbClr val="0000FF"/>
              </a:solidFill>
              <a:prstDash val="sysDot"/>
              <a:round/>
              <a:headEnd/>
              <a:tailEnd/>
            </a:ln>
          </xdr:spPr>
        </xdr:sp>
        <xdr:sp macro="" textlink="">
          <xdr:nvSpPr>
            <xdr:cNvPr id="12350" name="Line 1183">
              <a:extLst>
                <a:ext uri="{FF2B5EF4-FFF2-40B4-BE49-F238E27FC236}">
                  <a16:creationId xmlns:a16="http://schemas.microsoft.com/office/drawing/2014/main" id="{00000000-0008-0000-1100-00003E300000}"/>
                </a:ext>
              </a:extLst>
            </xdr:cNvPr>
            <xdr:cNvSpPr>
              <a:spLocks noChangeShapeType="1"/>
            </xdr:cNvSpPr>
          </xdr:nvSpPr>
          <xdr:spPr bwMode="auto">
            <a:xfrm>
              <a:off x="9215804" y="7641737"/>
              <a:ext cx="0" cy="76200"/>
            </a:xfrm>
            <a:prstGeom prst="line">
              <a:avLst/>
            </a:prstGeom>
            <a:noFill/>
            <a:ln w="19050">
              <a:solidFill>
                <a:srgbClr val="0000FF"/>
              </a:solidFill>
              <a:prstDash val="sysDot"/>
              <a:round/>
              <a:headEnd/>
              <a:tailEnd/>
            </a:ln>
          </xdr:spPr>
        </xdr:sp>
        <xdr:grpSp>
          <xdr:nvGrpSpPr>
            <xdr:cNvPr id="12351" name="Group 1184">
              <a:extLst>
                <a:ext uri="{FF2B5EF4-FFF2-40B4-BE49-F238E27FC236}">
                  <a16:creationId xmlns:a16="http://schemas.microsoft.com/office/drawing/2014/main" id="{00000000-0008-0000-1100-00003F300000}"/>
                </a:ext>
              </a:extLst>
            </xdr:cNvPr>
            <xdr:cNvGrpSpPr>
              <a:grpSpLocks/>
            </xdr:cNvGrpSpPr>
          </xdr:nvGrpSpPr>
          <xdr:grpSpPr bwMode="auto">
            <a:xfrm>
              <a:off x="2393706" y="6698762"/>
              <a:ext cx="115277" cy="263525"/>
              <a:chOff x="248" y="685"/>
              <a:chExt cx="12" cy="28"/>
            </a:xfrm>
          </xdr:grpSpPr>
          <xdr:sp macro="" textlink="">
            <xdr:nvSpPr>
              <xdr:cNvPr id="12706" name="Rectangle 1185">
                <a:extLst>
                  <a:ext uri="{FF2B5EF4-FFF2-40B4-BE49-F238E27FC236}">
                    <a16:creationId xmlns:a16="http://schemas.microsoft.com/office/drawing/2014/main" id="{00000000-0008-0000-1100-0000A2310000}"/>
                  </a:ext>
                </a:extLst>
              </xdr:cNvPr>
              <xdr:cNvSpPr>
                <a:spLocks noChangeArrowheads="1"/>
              </xdr:cNvSpPr>
            </xdr:nvSpPr>
            <xdr:spPr bwMode="auto">
              <a:xfrm>
                <a:off x="248" y="693"/>
                <a:ext cx="12" cy="11"/>
              </a:xfrm>
              <a:prstGeom prst="rect">
                <a:avLst/>
              </a:prstGeom>
              <a:solidFill>
                <a:srgbClr val="FF9933"/>
              </a:solidFill>
              <a:ln w="9525">
                <a:solidFill>
                  <a:srgbClr val="000000"/>
                </a:solidFill>
                <a:miter lim="800000"/>
                <a:headEnd/>
                <a:tailEnd/>
              </a:ln>
            </xdr:spPr>
          </xdr:sp>
          <xdr:sp macro="" textlink="">
            <xdr:nvSpPr>
              <xdr:cNvPr id="12707" name="Rectangle 1186">
                <a:extLst>
                  <a:ext uri="{FF2B5EF4-FFF2-40B4-BE49-F238E27FC236}">
                    <a16:creationId xmlns:a16="http://schemas.microsoft.com/office/drawing/2014/main" id="{00000000-0008-0000-1100-0000A3310000}"/>
                  </a:ext>
                </a:extLst>
              </xdr:cNvPr>
              <xdr:cNvSpPr>
                <a:spLocks noChangeArrowheads="1"/>
              </xdr:cNvSpPr>
            </xdr:nvSpPr>
            <xdr:spPr bwMode="auto">
              <a:xfrm>
                <a:off x="254" y="690"/>
                <a:ext cx="4" cy="18"/>
              </a:xfrm>
              <a:prstGeom prst="rect">
                <a:avLst/>
              </a:prstGeom>
              <a:solidFill>
                <a:srgbClr val="FFCC00"/>
              </a:solidFill>
              <a:ln w="9525">
                <a:solidFill>
                  <a:srgbClr val="000000"/>
                </a:solidFill>
                <a:miter lim="800000"/>
                <a:headEnd/>
                <a:tailEnd/>
              </a:ln>
            </xdr:spPr>
          </xdr:sp>
          <xdr:sp macro="" textlink="">
            <xdr:nvSpPr>
              <xdr:cNvPr id="12708" name="Rectangle 1187">
                <a:extLst>
                  <a:ext uri="{FF2B5EF4-FFF2-40B4-BE49-F238E27FC236}">
                    <a16:creationId xmlns:a16="http://schemas.microsoft.com/office/drawing/2014/main" id="{00000000-0008-0000-1100-0000A4310000}"/>
                  </a:ext>
                </a:extLst>
              </xdr:cNvPr>
              <xdr:cNvSpPr>
                <a:spLocks noChangeArrowheads="1"/>
              </xdr:cNvSpPr>
            </xdr:nvSpPr>
            <xdr:spPr bwMode="auto">
              <a:xfrm>
                <a:off x="251" y="685"/>
                <a:ext cx="3" cy="28"/>
              </a:xfrm>
              <a:prstGeom prst="rect">
                <a:avLst/>
              </a:prstGeom>
              <a:solidFill>
                <a:srgbClr val="FF9933"/>
              </a:solidFill>
              <a:ln w="9525">
                <a:solidFill>
                  <a:srgbClr val="000000"/>
                </a:solidFill>
                <a:miter lim="800000"/>
                <a:headEnd/>
                <a:tailEnd/>
              </a:ln>
            </xdr:spPr>
          </xdr:sp>
          <xdr:sp macro="" textlink="">
            <xdr:nvSpPr>
              <xdr:cNvPr id="12709" name="Rectangle 1188">
                <a:extLst>
                  <a:ext uri="{FF2B5EF4-FFF2-40B4-BE49-F238E27FC236}">
                    <a16:creationId xmlns:a16="http://schemas.microsoft.com/office/drawing/2014/main" id="{00000000-0008-0000-1100-0000A5310000}"/>
                  </a:ext>
                </a:extLst>
              </xdr:cNvPr>
              <xdr:cNvSpPr>
                <a:spLocks noChangeArrowheads="1"/>
              </xdr:cNvSpPr>
            </xdr:nvSpPr>
            <xdr:spPr bwMode="auto">
              <a:xfrm>
                <a:off x="248" y="687"/>
                <a:ext cx="3" cy="24"/>
              </a:xfrm>
              <a:prstGeom prst="rect">
                <a:avLst/>
              </a:prstGeom>
              <a:solidFill>
                <a:srgbClr val="FF9933"/>
              </a:solidFill>
              <a:ln w="9525">
                <a:solidFill>
                  <a:srgbClr val="000000"/>
                </a:solidFill>
                <a:miter lim="800000"/>
                <a:headEnd/>
                <a:tailEnd/>
              </a:ln>
            </xdr:spPr>
          </xdr:sp>
        </xdr:grpSp>
        <xdr:grpSp>
          <xdr:nvGrpSpPr>
            <xdr:cNvPr id="12352" name="Group 1189">
              <a:extLst>
                <a:ext uri="{FF2B5EF4-FFF2-40B4-BE49-F238E27FC236}">
                  <a16:creationId xmlns:a16="http://schemas.microsoft.com/office/drawing/2014/main" id="{00000000-0008-0000-1100-000040300000}"/>
                </a:ext>
              </a:extLst>
            </xdr:cNvPr>
            <xdr:cNvGrpSpPr>
              <a:grpSpLocks/>
            </xdr:cNvGrpSpPr>
          </xdr:nvGrpSpPr>
          <xdr:grpSpPr bwMode="auto">
            <a:xfrm rot="10800000">
              <a:off x="2442308" y="7155962"/>
              <a:ext cx="114300" cy="263525"/>
              <a:chOff x="248" y="685"/>
              <a:chExt cx="12" cy="28"/>
            </a:xfrm>
          </xdr:grpSpPr>
          <xdr:sp macro="" textlink="">
            <xdr:nvSpPr>
              <xdr:cNvPr id="12702" name="Rectangle 1190">
                <a:extLst>
                  <a:ext uri="{FF2B5EF4-FFF2-40B4-BE49-F238E27FC236}">
                    <a16:creationId xmlns:a16="http://schemas.microsoft.com/office/drawing/2014/main" id="{00000000-0008-0000-1100-00009E310000}"/>
                  </a:ext>
                </a:extLst>
              </xdr:cNvPr>
              <xdr:cNvSpPr>
                <a:spLocks noChangeArrowheads="1"/>
              </xdr:cNvSpPr>
            </xdr:nvSpPr>
            <xdr:spPr bwMode="auto">
              <a:xfrm>
                <a:off x="248" y="693"/>
                <a:ext cx="12" cy="11"/>
              </a:xfrm>
              <a:prstGeom prst="rect">
                <a:avLst/>
              </a:prstGeom>
              <a:solidFill>
                <a:srgbClr val="FF9933"/>
              </a:solidFill>
              <a:ln w="9525">
                <a:solidFill>
                  <a:srgbClr val="000000"/>
                </a:solidFill>
                <a:miter lim="800000"/>
                <a:headEnd/>
                <a:tailEnd/>
              </a:ln>
            </xdr:spPr>
          </xdr:sp>
          <xdr:sp macro="" textlink="">
            <xdr:nvSpPr>
              <xdr:cNvPr id="12703" name="Rectangle 1191">
                <a:extLst>
                  <a:ext uri="{FF2B5EF4-FFF2-40B4-BE49-F238E27FC236}">
                    <a16:creationId xmlns:a16="http://schemas.microsoft.com/office/drawing/2014/main" id="{00000000-0008-0000-1100-00009F310000}"/>
                  </a:ext>
                </a:extLst>
              </xdr:cNvPr>
              <xdr:cNvSpPr>
                <a:spLocks noChangeArrowheads="1"/>
              </xdr:cNvSpPr>
            </xdr:nvSpPr>
            <xdr:spPr bwMode="auto">
              <a:xfrm>
                <a:off x="254" y="690"/>
                <a:ext cx="4" cy="18"/>
              </a:xfrm>
              <a:prstGeom prst="rect">
                <a:avLst/>
              </a:prstGeom>
              <a:solidFill>
                <a:srgbClr val="FFCC00"/>
              </a:solidFill>
              <a:ln w="9525">
                <a:solidFill>
                  <a:srgbClr val="000000"/>
                </a:solidFill>
                <a:miter lim="800000"/>
                <a:headEnd/>
                <a:tailEnd/>
              </a:ln>
            </xdr:spPr>
          </xdr:sp>
          <xdr:sp macro="" textlink="">
            <xdr:nvSpPr>
              <xdr:cNvPr id="12704" name="Rectangle 1192">
                <a:extLst>
                  <a:ext uri="{FF2B5EF4-FFF2-40B4-BE49-F238E27FC236}">
                    <a16:creationId xmlns:a16="http://schemas.microsoft.com/office/drawing/2014/main" id="{00000000-0008-0000-1100-0000A0310000}"/>
                  </a:ext>
                </a:extLst>
              </xdr:cNvPr>
              <xdr:cNvSpPr>
                <a:spLocks noChangeArrowheads="1"/>
              </xdr:cNvSpPr>
            </xdr:nvSpPr>
            <xdr:spPr bwMode="auto">
              <a:xfrm>
                <a:off x="251" y="685"/>
                <a:ext cx="3" cy="28"/>
              </a:xfrm>
              <a:prstGeom prst="rect">
                <a:avLst/>
              </a:prstGeom>
              <a:solidFill>
                <a:srgbClr val="FF9933"/>
              </a:solidFill>
              <a:ln w="9525">
                <a:solidFill>
                  <a:srgbClr val="000000"/>
                </a:solidFill>
                <a:miter lim="800000"/>
                <a:headEnd/>
                <a:tailEnd/>
              </a:ln>
            </xdr:spPr>
          </xdr:sp>
          <xdr:sp macro="" textlink="">
            <xdr:nvSpPr>
              <xdr:cNvPr id="12705" name="Rectangle 1193">
                <a:extLst>
                  <a:ext uri="{FF2B5EF4-FFF2-40B4-BE49-F238E27FC236}">
                    <a16:creationId xmlns:a16="http://schemas.microsoft.com/office/drawing/2014/main" id="{00000000-0008-0000-1100-0000A1310000}"/>
                  </a:ext>
                </a:extLst>
              </xdr:cNvPr>
              <xdr:cNvSpPr>
                <a:spLocks noChangeArrowheads="1"/>
              </xdr:cNvSpPr>
            </xdr:nvSpPr>
            <xdr:spPr bwMode="auto">
              <a:xfrm>
                <a:off x="248" y="687"/>
                <a:ext cx="3" cy="24"/>
              </a:xfrm>
              <a:prstGeom prst="rect">
                <a:avLst/>
              </a:prstGeom>
              <a:solidFill>
                <a:srgbClr val="FF9933"/>
              </a:solidFill>
              <a:ln w="9525">
                <a:solidFill>
                  <a:srgbClr val="000000"/>
                </a:solidFill>
                <a:miter lim="800000"/>
                <a:headEnd/>
                <a:tailEnd/>
              </a:ln>
            </xdr:spPr>
          </xdr:sp>
        </xdr:grpSp>
        <xdr:grpSp>
          <xdr:nvGrpSpPr>
            <xdr:cNvPr id="12353" name="Group 1194">
              <a:extLst>
                <a:ext uri="{FF2B5EF4-FFF2-40B4-BE49-F238E27FC236}">
                  <a16:creationId xmlns:a16="http://schemas.microsoft.com/office/drawing/2014/main" id="{00000000-0008-0000-1100-000041300000}"/>
                </a:ext>
              </a:extLst>
            </xdr:cNvPr>
            <xdr:cNvGrpSpPr>
              <a:grpSpLocks/>
            </xdr:cNvGrpSpPr>
          </xdr:nvGrpSpPr>
          <xdr:grpSpPr bwMode="auto">
            <a:xfrm>
              <a:off x="6629644" y="7155962"/>
              <a:ext cx="572477" cy="263525"/>
              <a:chOff x="692" y="734"/>
              <a:chExt cx="60" cy="28"/>
            </a:xfrm>
          </xdr:grpSpPr>
          <xdr:sp macro="" textlink="">
            <xdr:nvSpPr>
              <xdr:cNvPr id="12693" name="Oval 1195">
                <a:extLst>
                  <a:ext uri="{FF2B5EF4-FFF2-40B4-BE49-F238E27FC236}">
                    <a16:creationId xmlns:a16="http://schemas.microsoft.com/office/drawing/2014/main" id="{00000000-0008-0000-1100-000095310000}"/>
                  </a:ext>
                </a:extLst>
              </xdr:cNvPr>
              <xdr:cNvSpPr>
                <a:spLocks noChangeArrowheads="1"/>
              </xdr:cNvSpPr>
            </xdr:nvSpPr>
            <xdr:spPr bwMode="auto">
              <a:xfrm>
                <a:off x="692" y="734"/>
                <a:ext cx="28" cy="28"/>
              </a:xfrm>
              <a:prstGeom prst="ellipse">
                <a:avLst/>
              </a:prstGeom>
              <a:solidFill>
                <a:srgbClr val="C0C0C0"/>
              </a:solidFill>
              <a:ln w="9525">
                <a:solidFill>
                  <a:srgbClr val="000000"/>
                </a:solidFill>
                <a:prstDash val="sysDot"/>
                <a:round/>
                <a:headEnd/>
                <a:tailEnd/>
              </a:ln>
            </xdr:spPr>
          </xdr:sp>
          <xdr:sp macro="" textlink="">
            <xdr:nvSpPr>
              <xdr:cNvPr id="12694" name="Oval 1196">
                <a:extLst>
                  <a:ext uri="{FF2B5EF4-FFF2-40B4-BE49-F238E27FC236}">
                    <a16:creationId xmlns:a16="http://schemas.microsoft.com/office/drawing/2014/main" id="{00000000-0008-0000-1100-000096310000}"/>
                  </a:ext>
                </a:extLst>
              </xdr:cNvPr>
              <xdr:cNvSpPr>
                <a:spLocks noChangeArrowheads="1"/>
              </xdr:cNvSpPr>
            </xdr:nvSpPr>
            <xdr:spPr bwMode="auto">
              <a:xfrm>
                <a:off x="724" y="734"/>
                <a:ext cx="28" cy="28"/>
              </a:xfrm>
              <a:prstGeom prst="ellipse">
                <a:avLst/>
              </a:prstGeom>
              <a:solidFill>
                <a:srgbClr val="C0C0C0"/>
              </a:solidFill>
              <a:ln w="9525">
                <a:solidFill>
                  <a:srgbClr val="000000"/>
                </a:solidFill>
                <a:prstDash val="sysDot"/>
                <a:round/>
                <a:headEnd/>
                <a:tailEnd/>
              </a:ln>
            </xdr:spPr>
          </xdr:sp>
          <xdr:sp macro="" textlink="">
            <xdr:nvSpPr>
              <xdr:cNvPr id="12695" name="Rectangle 1197">
                <a:extLst>
                  <a:ext uri="{FF2B5EF4-FFF2-40B4-BE49-F238E27FC236}">
                    <a16:creationId xmlns:a16="http://schemas.microsoft.com/office/drawing/2014/main" id="{00000000-0008-0000-1100-000097310000}"/>
                  </a:ext>
                </a:extLst>
              </xdr:cNvPr>
              <xdr:cNvSpPr>
                <a:spLocks noChangeArrowheads="1"/>
              </xdr:cNvSpPr>
            </xdr:nvSpPr>
            <xdr:spPr bwMode="auto">
              <a:xfrm>
                <a:off x="706" y="734"/>
                <a:ext cx="32" cy="28"/>
              </a:xfrm>
              <a:prstGeom prst="rect">
                <a:avLst/>
              </a:prstGeom>
              <a:solidFill>
                <a:srgbClr val="C0C0C0"/>
              </a:solidFill>
              <a:ln w="9525">
                <a:noFill/>
                <a:miter lim="800000"/>
                <a:headEnd/>
                <a:tailEnd/>
              </a:ln>
            </xdr:spPr>
          </xdr:sp>
          <xdr:sp macro="" textlink="">
            <xdr:nvSpPr>
              <xdr:cNvPr id="12696" name="Line 1198">
                <a:extLst>
                  <a:ext uri="{FF2B5EF4-FFF2-40B4-BE49-F238E27FC236}">
                    <a16:creationId xmlns:a16="http://schemas.microsoft.com/office/drawing/2014/main" id="{00000000-0008-0000-1100-000098310000}"/>
                  </a:ext>
                </a:extLst>
              </xdr:cNvPr>
              <xdr:cNvSpPr>
                <a:spLocks noChangeShapeType="1"/>
              </xdr:cNvSpPr>
            </xdr:nvSpPr>
            <xdr:spPr bwMode="auto">
              <a:xfrm>
                <a:off x="706" y="734"/>
                <a:ext cx="32" cy="0"/>
              </a:xfrm>
              <a:prstGeom prst="line">
                <a:avLst/>
              </a:prstGeom>
              <a:noFill/>
              <a:ln w="9525">
                <a:solidFill>
                  <a:srgbClr val="000000"/>
                </a:solidFill>
                <a:prstDash val="sysDot"/>
                <a:round/>
                <a:headEnd/>
                <a:tailEnd/>
              </a:ln>
            </xdr:spPr>
          </xdr:sp>
          <xdr:sp macro="" textlink="">
            <xdr:nvSpPr>
              <xdr:cNvPr id="12697" name="Line 1199">
                <a:extLst>
                  <a:ext uri="{FF2B5EF4-FFF2-40B4-BE49-F238E27FC236}">
                    <a16:creationId xmlns:a16="http://schemas.microsoft.com/office/drawing/2014/main" id="{00000000-0008-0000-1100-000099310000}"/>
                  </a:ext>
                </a:extLst>
              </xdr:cNvPr>
              <xdr:cNvSpPr>
                <a:spLocks noChangeShapeType="1"/>
              </xdr:cNvSpPr>
            </xdr:nvSpPr>
            <xdr:spPr bwMode="auto">
              <a:xfrm>
                <a:off x="705" y="762"/>
                <a:ext cx="32" cy="0"/>
              </a:xfrm>
              <a:prstGeom prst="line">
                <a:avLst/>
              </a:prstGeom>
              <a:noFill/>
              <a:ln w="9525">
                <a:solidFill>
                  <a:srgbClr val="000000"/>
                </a:solidFill>
                <a:prstDash val="sysDot"/>
                <a:round/>
                <a:headEnd/>
                <a:tailEnd/>
              </a:ln>
            </xdr:spPr>
          </xdr:sp>
          <xdr:sp macro="" textlink="">
            <xdr:nvSpPr>
              <xdr:cNvPr id="12698" name="AutoShape 1200">
                <a:extLst>
                  <a:ext uri="{FF2B5EF4-FFF2-40B4-BE49-F238E27FC236}">
                    <a16:creationId xmlns:a16="http://schemas.microsoft.com/office/drawing/2014/main" id="{00000000-0008-0000-1100-00009A310000}"/>
                  </a:ext>
                </a:extLst>
              </xdr:cNvPr>
              <xdr:cNvSpPr>
                <a:spLocks noChangeArrowheads="1"/>
              </xdr:cNvSpPr>
            </xdr:nvSpPr>
            <xdr:spPr bwMode="auto">
              <a:xfrm>
                <a:off x="695" y="739"/>
                <a:ext cx="22" cy="18"/>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699" name="Oval 1201">
                <a:extLst>
                  <a:ext uri="{FF2B5EF4-FFF2-40B4-BE49-F238E27FC236}">
                    <a16:creationId xmlns:a16="http://schemas.microsoft.com/office/drawing/2014/main" id="{00000000-0008-0000-1100-00009B310000}"/>
                  </a:ext>
                </a:extLst>
              </xdr:cNvPr>
              <xdr:cNvSpPr>
                <a:spLocks noChangeArrowheads="1"/>
              </xdr:cNvSpPr>
            </xdr:nvSpPr>
            <xdr:spPr bwMode="auto">
              <a:xfrm>
                <a:off x="700" y="742"/>
                <a:ext cx="12" cy="12"/>
              </a:xfrm>
              <a:prstGeom prst="ellipse">
                <a:avLst/>
              </a:prstGeom>
              <a:solidFill>
                <a:srgbClr val="C0C0C0"/>
              </a:solidFill>
              <a:ln w="9525">
                <a:solidFill>
                  <a:srgbClr val="000000"/>
                </a:solidFill>
                <a:prstDash val="sysDot"/>
                <a:round/>
                <a:headEnd/>
                <a:tailEnd/>
              </a:ln>
            </xdr:spPr>
          </xdr:sp>
          <xdr:sp macro="" textlink="">
            <xdr:nvSpPr>
              <xdr:cNvPr id="12700" name="AutoShape 1202">
                <a:extLst>
                  <a:ext uri="{FF2B5EF4-FFF2-40B4-BE49-F238E27FC236}">
                    <a16:creationId xmlns:a16="http://schemas.microsoft.com/office/drawing/2014/main" id="{00000000-0008-0000-1100-00009C310000}"/>
                  </a:ext>
                </a:extLst>
              </xdr:cNvPr>
              <xdr:cNvSpPr>
                <a:spLocks noChangeArrowheads="1"/>
              </xdr:cNvSpPr>
            </xdr:nvSpPr>
            <xdr:spPr bwMode="auto">
              <a:xfrm>
                <a:off x="727" y="739"/>
                <a:ext cx="22" cy="18"/>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701" name="Oval 1203">
                <a:extLst>
                  <a:ext uri="{FF2B5EF4-FFF2-40B4-BE49-F238E27FC236}">
                    <a16:creationId xmlns:a16="http://schemas.microsoft.com/office/drawing/2014/main" id="{00000000-0008-0000-1100-00009D310000}"/>
                  </a:ext>
                </a:extLst>
              </xdr:cNvPr>
              <xdr:cNvSpPr>
                <a:spLocks noChangeArrowheads="1"/>
              </xdr:cNvSpPr>
            </xdr:nvSpPr>
            <xdr:spPr bwMode="auto">
              <a:xfrm>
                <a:off x="732" y="742"/>
                <a:ext cx="12" cy="12"/>
              </a:xfrm>
              <a:prstGeom prst="ellipse">
                <a:avLst/>
              </a:prstGeom>
              <a:solidFill>
                <a:srgbClr val="C0C0C0"/>
              </a:solidFill>
              <a:ln w="9525">
                <a:solidFill>
                  <a:srgbClr val="000000"/>
                </a:solidFill>
                <a:prstDash val="sysDot"/>
                <a:round/>
                <a:headEnd/>
                <a:tailEnd/>
              </a:ln>
            </xdr:spPr>
          </xdr:sp>
        </xdr:grpSp>
        <xdr:sp macro="" textlink="">
          <xdr:nvSpPr>
            <xdr:cNvPr id="12354" name="Oval 1204">
              <a:extLst>
                <a:ext uri="{FF2B5EF4-FFF2-40B4-BE49-F238E27FC236}">
                  <a16:creationId xmlns:a16="http://schemas.microsoft.com/office/drawing/2014/main" id="{00000000-0008-0000-1100-000042300000}"/>
                </a:ext>
              </a:extLst>
            </xdr:cNvPr>
            <xdr:cNvSpPr>
              <a:spLocks noChangeArrowheads="1"/>
            </xdr:cNvSpPr>
          </xdr:nvSpPr>
          <xdr:spPr bwMode="auto">
            <a:xfrm>
              <a:off x="7860323" y="7155962"/>
              <a:ext cx="267677" cy="263525"/>
            </a:xfrm>
            <a:prstGeom prst="ellipse">
              <a:avLst/>
            </a:prstGeom>
            <a:solidFill>
              <a:srgbClr val="C0C0C0"/>
            </a:solidFill>
            <a:ln w="9525">
              <a:solidFill>
                <a:srgbClr val="000000"/>
              </a:solidFill>
              <a:prstDash val="sysDot"/>
              <a:round/>
              <a:headEnd/>
              <a:tailEnd/>
            </a:ln>
          </xdr:spPr>
        </xdr:sp>
        <xdr:sp macro="" textlink="">
          <xdr:nvSpPr>
            <xdr:cNvPr id="12355" name="Oval 1205">
              <a:extLst>
                <a:ext uri="{FF2B5EF4-FFF2-40B4-BE49-F238E27FC236}">
                  <a16:creationId xmlns:a16="http://schemas.microsoft.com/office/drawing/2014/main" id="{00000000-0008-0000-1100-000043300000}"/>
                </a:ext>
              </a:extLst>
            </xdr:cNvPr>
            <xdr:cNvSpPr>
              <a:spLocks noChangeArrowheads="1"/>
            </xdr:cNvSpPr>
          </xdr:nvSpPr>
          <xdr:spPr bwMode="auto">
            <a:xfrm>
              <a:off x="8166100" y="7155962"/>
              <a:ext cx="266700" cy="263525"/>
            </a:xfrm>
            <a:prstGeom prst="ellipse">
              <a:avLst/>
            </a:prstGeom>
            <a:solidFill>
              <a:srgbClr val="C0C0C0"/>
            </a:solidFill>
            <a:ln w="9525">
              <a:solidFill>
                <a:srgbClr val="000000"/>
              </a:solidFill>
              <a:prstDash val="sysDot"/>
              <a:round/>
              <a:headEnd/>
              <a:tailEnd/>
            </a:ln>
          </xdr:spPr>
        </xdr:sp>
        <xdr:sp macro="" textlink="">
          <xdr:nvSpPr>
            <xdr:cNvPr id="12356" name="Rectangle 1206">
              <a:extLst>
                <a:ext uri="{FF2B5EF4-FFF2-40B4-BE49-F238E27FC236}">
                  <a16:creationId xmlns:a16="http://schemas.microsoft.com/office/drawing/2014/main" id="{00000000-0008-0000-1100-000044300000}"/>
                </a:ext>
              </a:extLst>
            </xdr:cNvPr>
            <xdr:cNvSpPr>
              <a:spLocks noChangeArrowheads="1"/>
            </xdr:cNvSpPr>
          </xdr:nvSpPr>
          <xdr:spPr bwMode="auto">
            <a:xfrm>
              <a:off x="7994650" y="7155962"/>
              <a:ext cx="304800" cy="263525"/>
            </a:xfrm>
            <a:prstGeom prst="rect">
              <a:avLst/>
            </a:prstGeom>
            <a:solidFill>
              <a:srgbClr val="C0C0C0"/>
            </a:solidFill>
            <a:ln w="9525">
              <a:noFill/>
              <a:miter lim="800000"/>
              <a:headEnd/>
              <a:tailEnd/>
            </a:ln>
          </xdr:spPr>
        </xdr:sp>
        <xdr:sp macro="" textlink="">
          <xdr:nvSpPr>
            <xdr:cNvPr id="12357" name="Line 1207">
              <a:extLst>
                <a:ext uri="{FF2B5EF4-FFF2-40B4-BE49-F238E27FC236}">
                  <a16:creationId xmlns:a16="http://schemas.microsoft.com/office/drawing/2014/main" id="{00000000-0008-0000-1100-000045300000}"/>
                </a:ext>
              </a:extLst>
            </xdr:cNvPr>
            <xdr:cNvSpPr>
              <a:spLocks noChangeShapeType="1"/>
            </xdr:cNvSpPr>
          </xdr:nvSpPr>
          <xdr:spPr bwMode="auto">
            <a:xfrm>
              <a:off x="7994650" y="7155962"/>
              <a:ext cx="304800" cy="0"/>
            </a:xfrm>
            <a:prstGeom prst="line">
              <a:avLst/>
            </a:prstGeom>
            <a:noFill/>
            <a:ln w="9525">
              <a:solidFill>
                <a:srgbClr val="000000"/>
              </a:solidFill>
              <a:prstDash val="sysDot"/>
              <a:round/>
              <a:headEnd/>
              <a:tailEnd/>
            </a:ln>
          </xdr:spPr>
        </xdr:sp>
        <xdr:sp macro="" textlink="">
          <xdr:nvSpPr>
            <xdr:cNvPr id="12358" name="Line 1208">
              <a:extLst>
                <a:ext uri="{FF2B5EF4-FFF2-40B4-BE49-F238E27FC236}">
                  <a16:creationId xmlns:a16="http://schemas.microsoft.com/office/drawing/2014/main" id="{00000000-0008-0000-1100-000046300000}"/>
                </a:ext>
              </a:extLst>
            </xdr:cNvPr>
            <xdr:cNvSpPr>
              <a:spLocks noChangeShapeType="1"/>
            </xdr:cNvSpPr>
          </xdr:nvSpPr>
          <xdr:spPr bwMode="auto">
            <a:xfrm>
              <a:off x="7985125" y="7419487"/>
              <a:ext cx="304800" cy="0"/>
            </a:xfrm>
            <a:prstGeom prst="line">
              <a:avLst/>
            </a:prstGeom>
            <a:noFill/>
            <a:ln w="9525">
              <a:solidFill>
                <a:srgbClr val="000000"/>
              </a:solidFill>
              <a:prstDash val="sysDot"/>
              <a:round/>
              <a:headEnd/>
              <a:tailEnd/>
            </a:ln>
          </xdr:spPr>
        </xdr:sp>
        <xdr:sp macro="" textlink="">
          <xdr:nvSpPr>
            <xdr:cNvPr id="12359" name="AutoShape 1209">
              <a:extLst>
                <a:ext uri="{FF2B5EF4-FFF2-40B4-BE49-F238E27FC236}">
                  <a16:creationId xmlns:a16="http://schemas.microsoft.com/office/drawing/2014/main" id="{00000000-0008-0000-1100-000047300000}"/>
                </a:ext>
              </a:extLst>
            </xdr:cNvPr>
            <xdr:cNvSpPr>
              <a:spLocks noChangeArrowheads="1"/>
            </xdr:cNvSpPr>
          </xdr:nvSpPr>
          <xdr:spPr bwMode="auto">
            <a:xfrm>
              <a:off x="7888898" y="7203587"/>
              <a:ext cx="210527" cy="168275"/>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360" name="Oval 1210">
              <a:extLst>
                <a:ext uri="{FF2B5EF4-FFF2-40B4-BE49-F238E27FC236}">
                  <a16:creationId xmlns:a16="http://schemas.microsoft.com/office/drawing/2014/main" id="{00000000-0008-0000-1100-000048300000}"/>
                </a:ext>
              </a:extLst>
            </xdr:cNvPr>
            <xdr:cNvSpPr>
              <a:spLocks noChangeArrowheads="1"/>
            </xdr:cNvSpPr>
          </xdr:nvSpPr>
          <xdr:spPr bwMode="auto">
            <a:xfrm>
              <a:off x="7937500" y="7232162"/>
              <a:ext cx="114300" cy="111125"/>
            </a:xfrm>
            <a:prstGeom prst="ellipse">
              <a:avLst/>
            </a:prstGeom>
            <a:solidFill>
              <a:srgbClr val="C0C0C0"/>
            </a:solidFill>
            <a:ln w="9525">
              <a:solidFill>
                <a:srgbClr val="000000"/>
              </a:solidFill>
              <a:prstDash val="sysDot"/>
              <a:round/>
              <a:headEnd/>
              <a:tailEnd/>
            </a:ln>
          </xdr:spPr>
        </xdr:sp>
        <xdr:sp macro="" textlink="">
          <xdr:nvSpPr>
            <xdr:cNvPr id="12361" name="AutoShape 1211">
              <a:extLst>
                <a:ext uri="{FF2B5EF4-FFF2-40B4-BE49-F238E27FC236}">
                  <a16:creationId xmlns:a16="http://schemas.microsoft.com/office/drawing/2014/main" id="{00000000-0008-0000-1100-000049300000}"/>
                </a:ext>
              </a:extLst>
            </xdr:cNvPr>
            <xdr:cNvSpPr>
              <a:spLocks noChangeArrowheads="1"/>
            </xdr:cNvSpPr>
          </xdr:nvSpPr>
          <xdr:spPr bwMode="auto">
            <a:xfrm>
              <a:off x="8194675" y="7203587"/>
              <a:ext cx="209550" cy="168275"/>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362" name="Oval 1212">
              <a:extLst>
                <a:ext uri="{FF2B5EF4-FFF2-40B4-BE49-F238E27FC236}">
                  <a16:creationId xmlns:a16="http://schemas.microsoft.com/office/drawing/2014/main" id="{00000000-0008-0000-1100-00004A300000}"/>
                </a:ext>
              </a:extLst>
            </xdr:cNvPr>
            <xdr:cNvSpPr>
              <a:spLocks noChangeArrowheads="1"/>
            </xdr:cNvSpPr>
          </xdr:nvSpPr>
          <xdr:spPr bwMode="auto">
            <a:xfrm>
              <a:off x="8242300" y="7232162"/>
              <a:ext cx="114300" cy="111125"/>
            </a:xfrm>
            <a:prstGeom prst="ellipse">
              <a:avLst/>
            </a:prstGeom>
            <a:solidFill>
              <a:srgbClr val="C0C0C0"/>
            </a:solidFill>
            <a:ln w="9525">
              <a:solidFill>
                <a:srgbClr val="000000"/>
              </a:solidFill>
              <a:prstDash val="sysDot"/>
              <a:round/>
              <a:headEnd/>
              <a:tailEnd/>
            </a:ln>
          </xdr:spPr>
        </xdr:sp>
        <xdr:sp macro="" textlink="">
          <xdr:nvSpPr>
            <xdr:cNvPr id="12363" name="Oval 1213">
              <a:extLst>
                <a:ext uri="{FF2B5EF4-FFF2-40B4-BE49-F238E27FC236}">
                  <a16:creationId xmlns:a16="http://schemas.microsoft.com/office/drawing/2014/main" id="{00000000-0008-0000-1100-00004B300000}"/>
                </a:ext>
              </a:extLst>
            </xdr:cNvPr>
            <xdr:cNvSpPr>
              <a:spLocks noChangeArrowheads="1"/>
            </xdr:cNvSpPr>
          </xdr:nvSpPr>
          <xdr:spPr bwMode="auto">
            <a:xfrm rot="-5400000">
              <a:off x="9093078" y="7153886"/>
              <a:ext cx="263525" cy="267677"/>
            </a:xfrm>
            <a:prstGeom prst="ellipse">
              <a:avLst/>
            </a:prstGeom>
            <a:solidFill>
              <a:srgbClr val="FF9933"/>
            </a:solidFill>
            <a:ln w="9525">
              <a:solidFill>
                <a:srgbClr val="000000"/>
              </a:solidFill>
              <a:prstDash val="sysDot"/>
              <a:round/>
              <a:headEnd/>
              <a:tailEnd/>
            </a:ln>
          </xdr:spPr>
        </xdr:sp>
        <xdr:sp macro="" textlink="">
          <xdr:nvSpPr>
            <xdr:cNvPr id="12364" name="Oval 1214">
              <a:extLst>
                <a:ext uri="{FF2B5EF4-FFF2-40B4-BE49-F238E27FC236}">
                  <a16:creationId xmlns:a16="http://schemas.microsoft.com/office/drawing/2014/main" id="{00000000-0008-0000-1100-00004C300000}"/>
                </a:ext>
              </a:extLst>
            </xdr:cNvPr>
            <xdr:cNvSpPr>
              <a:spLocks noChangeArrowheads="1"/>
            </xdr:cNvSpPr>
          </xdr:nvSpPr>
          <xdr:spPr bwMode="auto">
            <a:xfrm rot="-5400000">
              <a:off x="9093078" y="6687161"/>
              <a:ext cx="263525" cy="267677"/>
            </a:xfrm>
            <a:prstGeom prst="ellipse">
              <a:avLst/>
            </a:prstGeom>
            <a:solidFill>
              <a:srgbClr val="FF9933"/>
            </a:solidFill>
            <a:ln w="9525">
              <a:solidFill>
                <a:srgbClr val="000000"/>
              </a:solidFill>
              <a:round/>
              <a:headEnd/>
              <a:tailEnd/>
            </a:ln>
          </xdr:spPr>
        </xdr:sp>
        <xdr:sp macro="" textlink="">
          <xdr:nvSpPr>
            <xdr:cNvPr id="12365" name="Rectangle 1215">
              <a:extLst>
                <a:ext uri="{FF2B5EF4-FFF2-40B4-BE49-F238E27FC236}">
                  <a16:creationId xmlns:a16="http://schemas.microsoft.com/office/drawing/2014/main" id="{00000000-0008-0000-1100-00004D300000}"/>
                </a:ext>
              </a:extLst>
            </xdr:cNvPr>
            <xdr:cNvSpPr>
              <a:spLocks noChangeArrowheads="1"/>
            </xdr:cNvSpPr>
          </xdr:nvSpPr>
          <xdr:spPr bwMode="auto">
            <a:xfrm rot="-5400000">
              <a:off x="9075616" y="6847498"/>
              <a:ext cx="298450" cy="267677"/>
            </a:xfrm>
            <a:prstGeom prst="rect">
              <a:avLst/>
            </a:prstGeom>
            <a:solidFill>
              <a:srgbClr val="FF9933"/>
            </a:solidFill>
            <a:ln w="9525">
              <a:noFill/>
              <a:miter lim="800000"/>
              <a:headEnd/>
              <a:tailEnd/>
            </a:ln>
          </xdr:spPr>
        </xdr:sp>
        <xdr:sp macro="" textlink="">
          <xdr:nvSpPr>
            <xdr:cNvPr id="12366" name="Line 1216">
              <a:extLst>
                <a:ext uri="{FF2B5EF4-FFF2-40B4-BE49-F238E27FC236}">
                  <a16:creationId xmlns:a16="http://schemas.microsoft.com/office/drawing/2014/main" id="{00000000-0008-0000-1100-00004E300000}"/>
                </a:ext>
              </a:extLst>
            </xdr:cNvPr>
            <xdr:cNvSpPr>
              <a:spLocks noChangeShapeType="1"/>
            </xdr:cNvSpPr>
          </xdr:nvSpPr>
          <xdr:spPr bwMode="auto">
            <a:xfrm rot="-5400000">
              <a:off x="9002102" y="7181362"/>
              <a:ext cx="177800" cy="0"/>
            </a:xfrm>
            <a:prstGeom prst="line">
              <a:avLst/>
            </a:prstGeom>
            <a:noFill/>
            <a:ln w="9525">
              <a:solidFill>
                <a:srgbClr val="000000"/>
              </a:solidFill>
              <a:prstDash val="sysDot"/>
              <a:round/>
              <a:headEnd/>
              <a:tailEnd/>
            </a:ln>
          </xdr:spPr>
        </xdr:sp>
        <xdr:sp macro="" textlink="">
          <xdr:nvSpPr>
            <xdr:cNvPr id="12367" name="AutoShape 1217">
              <a:extLst>
                <a:ext uri="{FF2B5EF4-FFF2-40B4-BE49-F238E27FC236}">
                  <a16:creationId xmlns:a16="http://schemas.microsoft.com/office/drawing/2014/main" id="{00000000-0008-0000-1100-00004F300000}"/>
                </a:ext>
              </a:extLst>
            </xdr:cNvPr>
            <xdr:cNvSpPr>
              <a:spLocks noChangeArrowheads="1"/>
            </xdr:cNvSpPr>
          </xdr:nvSpPr>
          <xdr:spPr bwMode="auto">
            <a:xfrm>
              <a:off x="9119577" y="6765437"/>
              <a:ext cx="210527" cy="168275"/>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368" name="Oval 1218">
              <a:extLst>
                <a:ext uri="{FF2B5EF4-FFF2-40B4-BE49-F238E27FC236}">
                  <a16:creationId xmlns:a16="http://schemas.microsoft.com/office/drawing/2014/main" id="{00000000-0008-0000-1100-000050300000}"/>
                </a:ext>
              </a:extLst>
            </xdr:cNvPr>
            <xdr:cNvSpPr>
              <a:spLocks noChangeArrowheads="1"/>
            </xdr:cNvSpPr>
          </xdr:nvSpPr>
          <xdr:spPr bwMode="auto">
            <a:xfrm>
              <a:off x="9168179" y="6794012"/>
              <a:ext cx="114300" cy="111125"/>
            </a:xfrm>
            <a:prstGeom prst="ellipse">
              <a:avLst/>
            </a:prstGeom>
            <a:solidFill>
              <a:srgbClr val="FF9933"/>
            </a:solidFill>
            <a:ln w="9525">
              <a:solidFill>
                <a:srgbClr val="000000"/>
              </a:solidFill>
              <a:round/>
              <a:headEnd/>
              <a:tailEnd/>
            </a:ln>
          </xdr:spPr>
        </xdr:sp>
        <xdr:sp macro="" textlink="">
          <xdr:nvSpPr>
            <xdr:cNvPr id="12369" name="Oval 1219">
              <a:extLst>
                <a:ext uri="{FF2B5EF4-FFF2-40B4-BE49-F238E27FC236}">
                  <a16:creationId xmlns:a16="http://schemas.microsoft.com/office/drawing/2014/main" id="{00000000-0008-0000-1100-000051300000}"/>
                </a:ext>
              </a:extLst>
            </xdr:cNvPr>
            <xdr:cNvSpPr>
              <a:spLocks noChangeArrowheads="1"/>
            </xdr:cNvSpPr>
          </xdr:nvSpPr>
          <xdr:spPr bwMode="auto">
            <a:xfrm>
              <a:off x="9091002" y="7155962"/>
              <a:ext cx="267677" cy="263525"/>
            </a:xfrm>
            <a:prstGeom prst="ellipse">
              <a:avLst/>
            </a:prstGeom>
            <a:solidFill>
              <a:srgbClr val="C0C0C0"/>
            </a:solidFill>
            <a:ln w="9525">
              <a:solidFill>
                <a:srgbClr val="000000"/>
              </a:solidFill>
              <a:prstDash val="sysDot"/>
              <a:round/>
              <a:headEnd/>
              <a:tailEnd/>
            </a:ln>
          </xdr:spPr>
        </xdr:sp>
        <xdr:sp macro="" textlink="">
          <xdr:nvSpPr>
            <xdr:cNvPr id="12370" name="Rectangle 1220">
              <a:extLst>
                <a:ext uri="{FF2B5EF4-FFF2-40B4-BE49-F238E27FC236}">
                  <a16:creationId xmlns:a16="http://schemas.microsoft.com/office/drawing/2014/main" id="{00000000-0008-0000-1100-000052300000}"/>
                </a:ext>
              </a:extLst>
            </xdr:cNvPr>
            <xdr:cNvSpPr>
              <a:spLocks noChangeArrowheads="1"/>
            </xdr:cNvSpPr>
          </xdr:nvSpPr>
          <xdr:spPr bwMode="auto">
            <a:xfrm rot="-5400000">
              <a:off x="9131178" y="7052286"/>
              <a:ext cx="187325" cy="267677"/>
            </a:xfrm>
            <a:prstGeom prst="rect">
              <a:avLst/>
            </a:prstGeom>
            <a:solidFill>
              <a:srgbClr val="C0C0C0"/>
            </a:solidFill>
            <a:ln w="9525">
              <a:noFill/>
              <a:miter lim="800000"/>
              <a:headEnd/>
              <a:tailEnd/>
            </a:ln>
          </xdr:spPr>
        </xdr:sp>
        <xdr:sp macro="" textlink="">
          <xdr:nvSpPr>
            <xdr:cNvPr id="12371" name="AutoShape 1221">
              <a:extLst>
                <a:ext uri="{FF2B5EF4-FFF2-40B4-BE49-F238E27FC236}">
                  <a16:creationId xmlns:a16="http://schemas.microsoft.com/office/drawing/2014/main" id="{00000000-0008-0000-1100-000053300000}"/>
                </a:ext>
              </a:extLst>
            </xdr:cNvPr>
            <xdr:cNvSpPr>
              <a:spLocks noChangeArrowheads="1"/>
            </xdr:cNvSpPr>
          </xdr:nvSpPr>
          <xdr:spPr bwMode="auto">
            <a:xfrm>
              <a:off x="9119577" y="7203587"/>
              <a:ext cx="210527" cy="168275"/>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372" name="Oval 1222">
              <a:extLst>
                <a:ext uri="{FF2B5EF4-FFF2-40B4-BE49-F238E27FC236}">
                  <a16:creationId xmlns:a16="http://schemas.microsoft.com/office/drawing/2014/main" id="{00000000-0008-0000-1100-000054300000}"/>
                </a:ext>
              </a:extLst>
            </xdr:cNvPr>
            <xdr:cNvSpPr>
              <a:spLocks noChangeArrowheads="1"/>
            </xdr:cNvSpPr>
          </xdr:nvSpPr>
          <xdr:spPr bwMode="auto">
            <a:xfrm>
              <a:off x="9168179" y="7232162"/>
              <a:ext cx="114300" cy="111125"/>
            </a:xfrm>
            <a:prstGeom prst="ellipse">
              <a:avLst/>
            </a:prstGeom>
            <a:solidFill>
              <a:srgbClr val="C0C0C0"/>
            </a:solidFill>
            <a:ln w="9525">
              <a:solidFill>
                <a:srgbClr val="000000"/>
              </a:solidFill>
              <a:prstDash val="sysDot"/>
              <a:round/>
              <a:headEnd/>
              <a:tailEnd/>
            </a:ln>
          </xdr:spPr>
        </xdr:sp>
        <xdr:sp macro="" textlink="">
          <xdr:nvSpPr>
            <xdr:cNvPr id="12373" name="Line 1223">
              <a:extLst>
                <a:ext uri="{FF2B5EF4-FFF2-40B4-BE49-F238E27FC236}">
                  <a16:creationId xmlns:a16="http://schemas.microsoft.com/office/drawing/2014/main" id="{00000000-0008-0000-1100-000055300000}"/>
                </a:ext>
              </a:extLst>
            </xdr:cNvPr>
            <xdr:cNvSpPr>
              <a:spLocks noChangeShapeType="1"/>
            </xdr:cNvSpPr>
          </xdr:nvSpPr>
          <xdr:spPr bwMode="auto">
            <a:xfrm>
              <a:off x="9091002" y="7092462"/>
              <a:ext cx="267677" cy="0"/>
            </a:xfrm>
            <a:prstGeom prst="line">
              <a:avLst/>
            </a:prstGeom>
            <a:noFill/>
            <a:ln w="9525">
              <a:solidFill>
                <a:srgbClr val="000000"/>
              </a:solidFill>
              <a:round/>
              <a:headEnd/>
              <a:tailEnd/>
            </a:ln>
          </xdr:spPr>
        </xdr:sp>
        <xdr:sp macro="" textlink="">
          <xdr:nvSpPr>
            <xdr:cNvPr id="12374" name="Line 1224">
              <a:extLst>
                <a:ext uri="{FF2B5EF4-FFF2-40B4-BE49-F238E27FC236}">
                  <a16:creationId xmlns:a16="http://schemas.microsoft.com/office/drawing/2014/main" id="{00000000-0008-0000-1100-000056300000}"/>
                </a:ext>
              </a:extLst>
            </xdr:cNvPr>
            <xdr:cNvSpPr>
              <a:spLocks noChangeShapeType="1"/>
            </xdr:cNvSpPr>
          </xdr:nvSpPr>
          <xdr:spPr bwMode="auto">
            <a:xfrm>
              <a:off x="9091002" y="7101987"/>
              <a:ext cx="0" cy="187325"/>
            </a:xfrm>
            <a:prstGeom prst="line">
              <a:avLst/>
            </a:prstGeom>
            <a:noFill/>
            <a:ln w="9525" cap="rnd">
              <a:solidFill>
                <a:srgbClr val="000000"/>
              </a:solidFill>
              <a:prstDash val="sysDot"/>
              <a:round/>
              <a:headEnd/>
              <a:tailEnd/>
            </a:ln>
          </xdr:spPr>
        </xdr:sp>
        <xdr:sp macro="" textlink="">
          <xdr:nvSpPr>
            <xdr:cNvPr id="12375" name="Line 1225">
              <a:extLst>
                <a:ext uri="{FF2B5EF4-FFF2-40B4-BE49-F238E27FC236}">
                  <a16:creationId xmlns:a16="http://schemas.microsoft.com/office/drawing/2014/main" id="{00000000-0008-0000-1100-000057300000}"/>
                </a:ext>
              </a:extLst>
            </xdr:cNvPr>
            <xdr:cNvSpPr>
              <a:spLocks noChangeShapeType="1"/>
            </xdr:cNvSpPr>
          </xdr:nvSpPr>
          <xdr:spPr bwMode="auto">
            <a:xfrm>
              <a:off x="9358679" y="6832112"/>
              <a:ext cx="0" cy="250825"/>
            </a:xfrm>
            <a:prstGeom prst="line">
              <a:avLst/>
            </a:prstGeom>
            <a:noFill/>
            <a:ln w="9525">
              <a:solidFill>
                <a:srgbClr val="000000"/>
              </a:solidFill>
              <a:round/>
              <a:headEnd/>
              <a:tailEnd/>
            </a:ln>
          </xdr:spPr>
        </xdr:sp>
        <xdr:grpSp>
          <xdr:nvGrpSpPr>
            <xdr:cNvPr id="12376" name="Group 1226">
              <a:extLst>
                <a:ext uri="{FF2B5EF4-FFF2-40B4-BE49-F238E27FC236}">
                  <a16:creationId xmlns:a16="http://schemas.microsoft.com/office/drawing/2014/main" id="{00000000-0008-0000-1100-000058300000}"/>
                </a:ext>
              </a:extLst>
            </xdr:cNvPr>
            <xdr:cNvGrpSpPr>
              <a:grpSpLocks/>
            </xdr:cNvGrpSpPr>
          </xdr:nvGrpSpPr>
          <xdr:grpSpPr bwMode="auto">
            <a:xfrm>
              <a:off x="5733317" y="7727462"/>
              <a:ext cx="391502" cy="279400"/>
              <a:chOff x="595" y="629"/>
              <a:chExt cx="59" cy="30"/>
            </a:xfrm>
          </xdr:grpSpPr>
          <xdr:sp macro="" textlink="">
            <xdr:nvSpPr>
              <xdr:cNvPr id="12691" name="Rectangle 1227" descr="Wide downward diagonal">
                <a:extLst>
                  <a:ext uri="{FF2B5EF4-FFF2-40B4-BE49-F238E27FC236}">
                    <a16:creationId xmlns:a16="http://schemas.microsoft.com/office/drawing/2014/main" id="{00000000-0008-0000-1100-000093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692" name="Rectangle 1228">
                <a:extLst>
                  <a:ext uri="{FF2B5EF4-FFF2-40B4-BE49-F238E27FC236}">
                    <a16:creationId xmlns:a16="http://schemas.microsoft.com/office/drawing/2014/main" id="{00000000-0008-0000-1100-000094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377" name="AutoShape 1229">
              <a:extLst>
                <a:ext uri="{FF2B5EF4-FFF2-40B4-BE49-F238E27FC236}">
                  <a16:creationId xmlns:a16="http://schemas.microsoft.com/office/drawing/2014/main" id="{00000000-0008-0000-1100-000059300000}"/>
                </a:ext>
              </a:extLst>
            </xdr:cNvPr>
            <xdr:cNvSpPr>
              <a:spLocks noChangeArrowheads="1"/>
            </xdr:cNvSpPr>
          </xdr:nvSpPr>
          <xdr:spPr bwMode="auto">
            <a:xfrm rot="5514549" flipH="1" flipV="1">
              <a:off x="5890480" y="6376499"/>
              <a:ext cx="133350" cy="1428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grpSp>
          <xdr:nvGrpSpPr>
            <xdr:cNvPr id="12378" name="Group 1230">
              <a:extLst>
                <a:ext uri="{FF2B5EF4-FFF2-40B4-BE49-F238E27FC236}">
                  <a16:creationId xmlns:a16="http://schemas.microsoft.com/office/drawing/2014/main" id="{00000000-0008-0000-1100-00005A300000}"/>
                </a:ext>
              </a:extLst>
            </xdr:cNvPr>
            <xdr:cNvGrpSpPr>
              <a:grpSpLocks/>
            </xdr:cNvGrpSpPr>
          </xdr:nvGrpSpPr>
          <xdr:grpSpPr bwMode="auto">
            <a:xfrm>
              <a:off x="5379915" y="6698762"/>
              <a:ext cx="582002" cy="263525"/>
              <a:chOff x="561" y="685"/>
              <a:chExt cx="61" cy="28"/>
            </a:xfrm>
          </xdr:grpSpPr>
          <xdr:sp macro="" textlink="">
            <xdr:nvSpPr>
              <xdr:cNvPr id="12685" name="Rectangle 1231">
                <a:extLst>
                  <a:ext uri="{FF2B5EF4-FFF2-40B4-BE49-F238E27FC236}">
                    <a16:creationId xmlns:a16="http://schemas.microsoft.com/office/drawing/2014/main" id="{00000000-0008-0000-1100-00008D310000}"/>
                  </a:ext>
                </a:extLst>
              </xdr:cNvPr>
              <xdr:cNvSpPr>
                <a:spLocks noChangeArrowheads="1"/>
              </xdr:cNvSpPr>
            </xdr:nvSpPr>
            <xdr:spPr bwMode="auto">
              <a:xfrm>
                <a:off x="569" y="686"/>
                <a:ext cx="20" cy="23"/>
              </a:xfrm>
              <a:prstGeom prst="rect">
                <a:avLst/>
              </a:prstGeom>
              <a:solidFill>
                <a:srgbClr val="FFFF99"/>
              </a:solidFill>
              <a:ln w="9525">
                <a:solidFill>
                  <a:srgbClr val="000000"/>
                </a:solidFill>
                <a:miter lim="800000"/>
                <a:headEnd/>
                <a:tailEnd/>
              </a:ln>
            </xdr:spPr>
          </xdr:sp>
          <xdr:sp macro="" textlink="">
            <xdr:nvSpPr>
              <xdr:cNvPr id="12686" name="Rectangle 1232">
                <a:extLst>
                  <a:ext uri="{FF2B5EF4-FFF2-40B4-BE49-F238E27FC236}">
                    <a16:creationId xmlns:a16="http://schemas.microsoft.com/office/drawing/2014/main" id="{00000000-0008-0000-1100-00008E310000}"/>
                  </a:ext>
                </a:extLst>
              </xdr:cNvPr>
              <xdr:cNvSpPr>
                <a:spLocks noChangeArrowheads="1"/>
              </xdr:cNvSpPr>
            </xdr:nvSpPr>
            <xdr:spPr bwMode="auto">
              <a:xfrm>
                <a:off x="561" y="690"/>
                <a:ext cx="39" cy="15"/>
              </a:xfrm>
              <a:prstGeom prst="rect">
                <a:avLst/>
              </a:prstGeom>
              <a:solidFill>
                <a:srgbClr val="FF9933"/>
              </a:solidFill>
              <a:ln w="9525">
                <a:solidFill>
                  <a:srgbClr val="000000"/>
                </a:solidFill>
                <a:miter lim="800000"/>
                <a:headEnd/>
                <a:tailEnd/>
              </a:ln>
            </xdr:spPr>
          </xdr:sp>
          <xdr:sp macro="" textlink="">
            <xdr:nvSpPr>
              <xdr:cNvPr id="12687" name="Oval 1233">
                <a:extLst>
                  <a:ext uri="{FF2B5EF4-FFF2-40B4-BE49-F238E27FC236}">
                    <a16:creationId xmlns:a16="http://schemas.microsoft.com/office/drawing/2014/main" id="{00000000-0008-0000-1100-00008F310000}"/>
                  </a:ext>
                </a:extLst>
              </xdr:cNvPr>
              <xdr:cNvSpPr>
                <a:spLocks noChangeArrowheads="1"/>
              </xdr:cNvSpPr>
            </xdr:nvSpPr>
            <xdr:spPr bwMode="auto">
              <a:xfrm>
                <a:off x="596" y="685"/>
                <a:ext cx="26" cy="28"/>
              </a:xfrm>
              <a:prstGeom prst="ellipse">
                <a:avLst/>
              </a:prstGeom>
              <a:solidFill>
                <a:srgbClr val="FF9933"/>
              </a:solidFill>
              <a:ln w="9525">
                <a:solidFill>
                  <a:srgbClr val="000000"/>
                </a:solidFill>
                <a:round/>
                <a:headEnd/>
                <a:tailEnd/>
              </a:ln>
            </xdr:spPr>
          </xdr:sp>
          <xdr:sp macro="" textlink="">
            <xdr:nvSpPr>
              <xdr:cNvPr id="12688" name="Rectangle 1234">
                <a:extLst>
                  <a:ext uri="{FF2B5EF4-FFF2-40B4-BE49-F238E27FC236}">
                    <a16:creationId xmlns:a16="http://schemas.microsoft.com/office/drawing/2014/main" id="{00000000-0008-0000-1100-000090310000}"/>
                  </a:ext>
                </a:extLst>
              </xdr:cNvPr>
              <xdr:cNvSpPr>
                <a:spLocks noChangeArrowheads="1"/>
              </xdr:cNvSpPr>
            </xdr:nvSpPr>
            <xdr:spPr bwMode="auto">
              <a:xfrm>
                <a:off x="591" y="691"/>
                <a:ext cx="8" cy="13"/>
              </a:xfrm>
              <a:prstGeom prst="rect">
                <a:avLst/>
              </a:prstGeom>
              <a:solidFill>
                <a:srgbClr val="FF9933"/>
              </a:solidFill>
              <a:ln w="9525">
                <a:noFill/>
                <a:miter lim="800000"/>
                <a:headEnd/>
                <a:tailEnd/>
              </a:ln>
            </xdr:spPr>
          </xdr:sp>
          <xdr:sp macro="" textlink="">
            <xdr:nvSpPr>
              <xdr:cNvPr id="12689" name="AutoShape 1235">
                <a:extLst>
                  <a:ext uri="{FF2B5EF4-FFF2-40B4-BE49-F238E27FC236}">
                    <a16:creationId xmlns:a16="http://schemas.microsoft.com/office/drawing/2014/main" id="{00000000-0008-0000-1100-000091310000}"/>
                  </a:ext>
                </a:extLst>
              </xdr:cNvPr>
              <xdr:cNvSpPr>
                <a:spLocks noChangeArrowheads="1"/>
              </xdr:cNvSpPr>
            </xdr:nvSpPr>
            <xdr:spPr bwMode="auto">
              <a:xfrm>
                <a:off x="598"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90" name="Oval 1236">
                <a:extLst>
                  <a:ext uri="{FF2B5EF4-FFF2-40B4-BE49-F238E27FC236}">
                    <a16:creationId xmlns:a16="http://schemas.microsoft.com/office/drawing/2014/main" id="{00000000-0008-0000-1100-000092310000}"/>
                  </a:ext>
                </a:extLst>
              </xdr:cNvPr>
              <xdr:cNvSpPr>
                <a:spLocks noChangeArrowheads="1"/>
              </xdr:cNvSpPr>
            </xdr:nvSpPr>
            <xdr:spPr bwMode="auto">
              <a:xfrm>
                <a:off x="603" y="693"/>
                <a:ext cx="12" cy="12"/>
              </a:xfrm>
              <a:prstGeom prst="ellipse">
                <a:avLst/>
              </a:prstGeom>
              <a:solidFill>
                <a:srgbClr val="FF9933"/>
              </a:solidFill>
              <a:ln w="9525">
                <a:solidFill>
                  <a:srgbClr val="000000"/>
                </a:solidFill>
                <a:round/>
                <a:headEnd/>
                <a:tailEnd/>
              </a:ln>
            </xdr:spPr>
          </xdr:sp>
        </xdr:grpSp>
        <xdr:sp macro="" textlink="">
          <xdr:nvSpPr>
            <xdr:cNvPr id="12379" name="Rectangle 1237">
              <a:extLst>
                <a:ext uri="{FF2B5EF4-FFF2-40B4-BE49-F238E27FC236}">
                  <a16:creationId xmlns:a16="http://schemas.microsoft.com/office/drawing/2014/main" id="{00000000-0008-0000-1100-00005B300000}"/>
                </a:ext>
              </a:extLst>
            </xdr:cNvPr>
            <xdr:cNvSpPr>
              <a:spLocks noChangeArrowheads="1"/>
            </xdr:cNvSpPr>
          </xdr:nvSpPr>
          <xdr:spPr bwMode="auto">
            <a:xfrm>
              <a:off x="5437065" y="7165487"/>
              <a:ext cx="191477" cy="215900"/>
            </a:xfrm>
            <a:prstGeom prst="rect">
              <a:avLst/>
            </a:prstGeom>
            <a:solidFill>
              <a:srgbClr val="C0C0C0"/>
            </a:solidFill>
            <a:ln w="9525" cap="rnd">
              <a:solidFill>
                <a:srgbClr val="000000"/>
              </a:solidFill>
              <a:prstDash val="sysDot"/>
              <a:miter lim="800000"/>
              <a:headEnd/>
              <a:tailEnd/>
            </a:ln>
          </xdr:spPr>
        </xdr:sp>
        <xdr:sp macro="" textlink="">
          <xdr:nvSpPr>
            <xdr:cNvPr id="12380" name="Rectangle 1238">
              <a:extLst>
                <a:ext uri="{FF2B5EF4-FFF2-40B4-BE49-F238E27FC236}">
                  <a16:creationId xmlns:a16="http://schemas.microsoft.com/office/drawing/2014/main" id="{00000000-0008-0000-1100-00005C300000}"/>
                </a:ext>
              </a:extLst>
            </xdr:cNvPr>
            <xdr:cNvSpPr>
              <a:spLocks noChangeArrowheads="1"/>
            </xdr:cNvSpPr>
          </xdr:nvSpPr>
          <xdr:spPr bwMode="auto">
            <a:xfrm>
              <a:off x="5360865" y="7203587"/>
              <a:ext cx="372452" cy="139700"/>
            </a:xfrm>
            <a:prstGeom prst="rect">
              <a:avLst/>
            </a:prstGeom>
            <a:solidFill>
              <a:srgbClr val="C0C0C0"/>
            </a:solidFill>
            <a:ln w="9525" cap="rnd">
              <a:solidFill>
                <a:srgbClr val="000000"/>
              </a:solidFill>
              <a:prstDash val="sysDot"/>
              <a:miter lim="800000"/>
              <a:headEnd/>
              <a:tailEnd/>
            </a:ln>
          </xdr:spPr>
        </xdr:sp>
        <xdr:sp macro="" textlink="">
          <xdr:nvSpPr>
            <xdr:cNvPr id="12381" name="Oval 1239">
              <a:extLst>
                <a:ext uri="{FF2B5EF4-FFF2-40B4-BE49-F238E27FC236}">
                  <a16:creationId xmlns:a16="http://schemas.microsoft.com/office/drawing/2014/main" id="{00000000-0008-0000-1100-00005D300000}"/>
                </a:ext>
              </a:extLst>
            </xdr:cNvPr>
            <xdr:cNvSpPr>
              <a:spLocks noChangeArrowheads="1"/>
            </xdr:cNvSpPr>
          </xdr:nvSpPr>
          <xdr:spPr bwMode="auto">
            <a:xfrm>
              <a:off x="5695217" y="7155962"/>
              <a:ext cx="247650" cy="263525"/>
            </a:xfrm>
            <a:prstGeom prst="ellipse">
              <a:avLst/>
            </a:prstGeom>
            <a:solidFill>
              <a:srgbClr val="C0C0C0"/>
            </a:solidFill>
            <a:ln w="9525" cap="rnd">
              <a:solidFill>
                <a:srgbClr val="000000"/>
              </a:solidFill>
              <a:prstDash val="sysDot"/>
              <a:round/>
              <a:headEnd/>
              <a:tailEnd/>
            </a:ln>
          </xdr:spPr>
        </xdr:sp>
        <xdr:sp macro="" textlink="">
          <xdr:nvSpPr>
            <xdr:cNvPr id="12382" name="Rectangle 1240">
              <a:extLst>
                <a:ext uri="{FF2B5EF4-FFF2-40B4-BE49-F238E27FC236}">
                  <a16:creationId xmlns:a16="http://schemas.microsoft.com/office/drawing/2014/main" id="{00000000-0008-0000-1100-00005E300000}"/>
                </a:ext>
              </a:extLst>
            </xdr:cNvPr>
            <xdr:cNvSpPr>
              <a:spLocks noChangeArrowheads="1"/>
            </xdr:cNvSpPr>
          </xdr:nvSpPr>
          <xdr:spPr bwMode="auto">
            <a:xfrm>
              <a:off x="5647592" y="7213112"/>
              <a:ext cx="76200" cy="120650"/>
            </a:xfrm>
            <a:prstGeom prst="rect">
              <a:avLst/>
            </a:prstGeom>
            <a:solidFill>
              <a:srgbClr val="C0C0C0"/>
            </a:solidFill>
            <a:ln w="9525">
              <a:noFill/>
              <a:miter lim="800000"/>
              <a:headEnd/>
              <a:tailEnd/>
            </a:ln>
          </xdr:spPr>
        </xdr:sp>
        <xdr:sp macro="" textlink="">
          <xdr:nvSpPr>
            <xdr:cNvPr id="12383" name="AutoShape 1241">
              <a:extLst>
                <a:ext uri="{FF2B5EF4-FFF2-40B4-BE49-F238E27FC236}">
                  <a16:creationId xmlns:a16="http://schemas.microsoft.com/office/drawing/2014/main" id="{00000000-0008-0000-1100-00005F300000}"/>
                </a:ext>
              </a:extLst>
            </xdr:cNvPr>
            <xdr:cNvSpPr>
              <a:spLocks noChangeArrowheads="1"/>
            </xdr:cNvSpPr>
          </xdr:nvSpPr>
          <xdr:spPr bwMode="auto">
            <a:xfrm>
              <a:off x="5714267" y="7203587"/>
              <a:ext cx="209550" cy="168275"/>
            </a:xfrm>
            <a:prstGeom prst="hexagon">
              <a:avLst>
                <a:gd name="adj" fmla="val 30556"/>
                <a:gd name="vf" fmla="val 115470"/>
              </a:avLst>
            </a:prstGeom>
            <a:solidFill>
              <a:srgbClr val="C0C0C0"/>
            </a:solidFill>
            <a:ln w="9525" cap="rnd">
              <a:solidFill>
                <a:srgbClr val="000000"/>
              </a:solidFill>
              <a:prstDash val="sysDot"/>
              <a:miter lim="800000"/>
              <a:headEnd/>
              <a:tailEnd/>
            </a:ln>
          </xdr:spPr>
        </xdr:sp>
        <xdr:sp macro="" textlink="">
          <xdr:nvSpPr>
            <xdr:cNvPr id="12384" name="Oval 1242">
              <a:extLst>
                <a:ext uri="{FF2B5EF4-FFF2-40B4-BE49-F238E27FC236}">
                  <a16:creationId xmlns:a16="http://schemas.microsoft.com/office/drawing/2014/main" id="{00000000-0008-0000-1100-000060300000}"/>
                </a:ext>
              </a:extLst>
            </xdr:cNvPr>
            <xdr:cNvSpPr>
              <a:spLocks noChangeArrowheads="1"/>
            </xdr:cNvSpPr>
          </xdr:nvSpPr>
          <xdr:spPr bwMode="auto">
            <a:xfrm>
              <a:off x="5761892" y="7232162"/>
              <a:ext cx="114300" cy="111125"/>
            </a:xfrm>
            <a:prstGeom prst="ellipse">
              <a:avLst/>
            </a:prstGeom>
            <a:solidFill>
              <a:srgbClr val="C0C0C0"/>
            </a:solidFill>
            <a:ln w="9525" cap="rnd">
              <a:solidFill>
                <a:srgbClr val="000000"/>
              </a:solidFill>
              <a:prstDash val="sysDot"/>
              <a:round/>
              <a:headEnd/>
              <a:tailEnd/>
            </a:ln>
          </xdr:spPr>
        </xdr:sp>
        <xdr:grpSp>
          <xdr:nvGrpSpPr>
            <xdr:cNvPr id="12385" name="Group 1243">
              <a:extLst>
                <a:ext uri="{FF2B5EF4-FFF2-40B4-BE49-F238E27FC236}">
                  <a16:creationId xmlns:a16="http://schemas.microsoft.com/office/drawing/2014/main" id="{00000000-0008-0000-1100-000061300000}"/>
                </a:ext>
              </a:extLst>
            </xdr:cNvPr>
            <xdr:cNvGrpSpPr>
              <a:grpSpLocks/>
            </xdr:cNvGrpSpPr>
          </xdr:nvGrpSpPr>
          <xdr:grpSpPr bwMode="auto">
            <a:xfrm>
              <a:off x="3291010" y="3777762"/>
              <a:ext cx="323850" cy="317500"/>
              <a:chOff x="304" y="397"/>
              <a:chExt cx="34" cy="34"/>
            </a:xfrm>
          </xdr:grpSpPr>
          <xdr:sp macro="" textlink="">
            <xdr:nvSpPr>
              <xdr:cNvPr id="12679" name="Oval 1244">
                <a:extLst>
                  <a:ext uri="{FF2B5EF4-FFF2-40B4-BE49-F238E27FC236}">
                    <a16:creationId xmlns:a16="http://schemas.microsoft.com/office/drawing/2014/main" id="{00000000-0008-0000-1100-000087310000}"/>
                  </a:ext>
                </a:extLst>
              </xdr:cNvPr>
              <xdr:cNvSpPr>
                <a:spLocks noChangeArrowheads="1"/>
              </xdr:cNvSpPr>
            </xdr:nvSpPr>
            <xdr:spPr bwMode="auto">
              <a:xfrm rot="-1760819">
                <a:off x="323" y="397"/>
                <a:ext cx="12" cy="27"/>
              </a:xfrm>
              <a:prstGeom prst="ellipse">
                <a:avLst/>
              </a:prstGeom>
              <a:solidFill>
                <a:srgbClr val="FFFFFF"/>
              </a:solidFill>
              <a:ln w="9525">
                <a:solidFill>
                  <a:srgbClr val="000000"/>
                </a:solidFill>
                <a:round/>
                <a:headEnd/>
                <a:tailEnd/>
              </a:ln>
            </xdr:spPr>
          </xdr:sp>
          <xdr:sp macro="" textlink="">
            <xdr:nvSpPr>
              <xdr:cNvPr id="12680" name="Oval 1245">
                <a:extLst>
                  <a:ext uri="{FF2B5EF4-FFF2-40B4-BE49-F238E27FC236}">
                    <a16:creationId xmlns:a16="http://schemas.microsoft.com/office/drawing/2014/main" id="{00000000-0008-0000-1100-000088310000}"/>
                  </a:ext>
                </a:extLst>
              </xdr:cNvPr>
              <xdr:cNvSpPr>
                <a:spLocks noChangeArrowheads="1"/>
              </xdr:cNvSpPr>
            </xdr:nvSpPr>
            <xdr:spPr bwMode="auto">
              <a:xfrm rot="-1760819">
                <a:off x="319" y="406"/>
                <a:ext cx="7" cy="17"/>
              </a:xfrm>
              <a:prstGeom prst="ellipse">
                <a:avLst/>
              </a:prstGeom>
              <a:solidFill>
                <a:srgbClr val="FFFFFF"/>
              </a:solidFill>
              <a:ln w="9525">
                <a:solidFill>
                  <a:srgbClr val="000000"/>
                </a:solidFill>
                <a:round/>
                <a:headEnd/>
                <a:tailEnd/>
              </a:ln>
            </xdr:spPr>
          </xdr:sp>
          <xdr:sp macro="" textlink="">
            <xdr:nvSpPr>
              <xdr:cNvPr id="12681" name="Freeform 1246">
                <a:extLst>
                  <a:ext uri="{FF2B5EF4-FFF2-40B4-BE49-F238E27FC236}">
                    <a16:creationId xmlns:a16="http://schemas.microsoft.com/office/drawing/2014/main" id="{00000000-0008-0000-1100-000089310000}"/>
                  </a:ext>
                </a:extLst>
              </xdr:cNvPr>
              <xdr:cNvSpPr>
                <a:spLocks/>
              </xdr:cNvSpPr>
            </xdr:nvSpPr>
            <xdr:spPr bwMode="auto">
              <a:xfrm>
                <a:off x="316" y="398"/>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682" name="Oval 1247">
                <a:extLst>
                  <a:ext uri="{FF2B5EF4-FFF2-40B4-BE49-F238E27FC236}">
                    <a16:creationId xmlns:a16="http://schemas.microsoft.com/office/drawing/2014/main" id="{00000000-0008-0000-1100-00008A310000}"/>
                  </a:ext>
                </a:extLst>
              </xdr:cNvPr>
              <xdr:cNvSpPr>
                <a:spLocks noChangeArrowheads="1"/>
              </xdr:cNvSpPr>
            </xdr:nvSpPr>
            <xdr:spPr bwMode="auto">
              <a:xfrm rot="-1760819">
                <a:off x="317" y="401"/>
                <a:ext cx="12" cy="27"/>
              </a:xfrm>
              <a:prstGeom prst="ellipse">
                <a:avLst/>
              </a:prstGeom>
              <a:solidFill>
                <a:srgbClr val="FFFF99"/>
              </a:solidFill>
              <a:ln w="9525">
                <a:solidFill>
                  <a:srgbClr val="000000"/>
                </a:solidFill>
                <a:round/>
                <a:headEnd/>
                <a:tailEnd/>
              </a:ln>
            </xdr:spPr>
          </xdr:sp>
          <xdr:sp macro="" textlink="">
            <xdr:nvSpPr>
              <xdr:cNvPr id="12683" name="Freeform 1248">
                <a:extLst>
                  <a:ext uri="{FF2B5EF4-FFF2-40B4-BE49-F238E27FC236}">
                    <a16:creationId xmlns:a16="http://schemas.microsoft.com/office/drawing/2014/main" id="{00000000-0008-0000-1100-00008B310000}"/>
                  </a:ext>
                </a:extLst>
              </xdr:cNvPr>
              <xdr:cNvSpPr>
                <a:spLocks/>
              </xdr:cNvSpPr>
            </xdr:nvSpPr>
            <xdr:spPr bwMode="auto">
              <a:xfrm>
                <a:off x="304" y="407"/>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684" name="Oval 1249">
                <a:extLst>
                  <a:ext uri="{FF2B5EF4-FFF2-40B4-BE49-F238E27FC236}">
                    <a16:creationId xmlns:a16="http://schemas.microsoft.com/office/drawing/2014/main" id="{00000000-0008-0000-1100-00008C310000}"/>
                  </a:ext>
                </a:extLst>
              </xdr:cNvPr>
              <xdr:cNvSpPr>
                <a:spLocks noChangeArrowheads="1"/>
              </xdr:cNvSpPr>
            </xdr:nvSpPr>
            <xdr:spPr bwMode="auto">
              <a:xfrm rot="-1760819">
                <a:off x="305" y="414"/>
                <a:ext cx="7" cy="17"/>
              </a:xfrm>
              <a:prstGeom prst="ellipse">
                <a:avLst/>
              </a:prstGeom>
              <a:solidFill>
                <a:srgbClr val="FF9933"/>
              </a:solidFill>
              <a:ln w="9525">
                <a:solidFill>
                  <a:srgbClr val="000000"/>
                </a:solidFill>
                <a:round/>
                <a:headEnd/>
                <a:tailEnd/>
              </a:ln>
            </xdr:spPr>
          </xdr:sp>
        </xdr:grpSp>
        <xdr:grpSp>
          <xdr:nvGrpSpPr>
            <xdr:cNvPr id="12386" name="Group 1250">
              <a:extLst>
                <a:ext uri="{FF2B5EF4-FFF2-40B4-BE49-F238E27FC236}">
                  <a16:creationId xmlns:a16="http://schemas.microsoft.com/office/drawing/2014/main" id="{00000000-0008-0000-1100-000062300000}"/>
                </a:ext>
              </a:extLst>
            </xdr:cNvPr>
            <xdr:cNvGrpSpPr>
              <a:grpSpLocks/>
            </xdr:cNvGrpSpPr>
          </xdr:nvGrpSpPr>
          <xdr:grpSpPr bwMode="auto">
            <a:xfrm>
              <a:off x="3567235" y="4244487"/>
              <a:ext cx="324827" cy="317500"/>
              <a:chOff x="333" y="447"/>
              <a:chExt cx="34" cy="34"/>
            </a:xfrm>
          </xdr:grpSpPr>
          <xdr:sp macro="" textlink="">
            <xdr:nvSpPr>
              <xdr:cNvPr id="12673" name="Oval 1251">
                <a:extLst>
                  <a:ext uri="{FF2B5EF4-FFF2-40B4-BE49-F238E27FC236}">
                    <a16:creationId xmlns:a16="http://schemas.microsoft.com/office/drawing/2014/main" id="{00000000-0008-0000-1100-000081310000}"/>
                  </a:ext>
                </a:extLst>
              </xdr:cNvPr>
              <xdr:cNvSpPr>
                <a:spLocks noChangeArrowheads="1"/>
              </xdr:cNvSpPr>
            </xdr:nvSpPr>
            <xdr:spPr bwMode="auto">
              <a:xfrm rot="-1760819">
                <a:off x="352" y="447"/>
                <a:ext cx="12" cy="27"/>
              </a:xfrm>
              <a:prstGeom prst="ellipse">
                <a:avLst/>
              </a:prstGeom>
              <a:solidFill>
                <a:srgbClr val="FFFFFF"/>
              </a:solidFill>
              <a:ln w="9525">
                <a:solidFill>
                  <a:srgbClr val="000000"/>
                </a:solidFill>
                <a:round/>
                <a:headEnd/>
                <a:tailEnd/>
              </a:ln>
            </xdr:spPr>
          </xdr:sp>
          <xdr:sp macro="" textlink="">
            <xdr:nvSpPr>
              <xdr:cNvPr id="12674" name="Oval 1252">
                <a:extLst>
                  <a:ext uri="{FF2B5EF4-FFF2-40B4-BE49-F238E27FC236}">
                    <a16:creationId xmlns:a16="http://schemas.microsoft.com/office/drawing/2014/main" id="{00000000-0008-0000-1100-000082310000}"/>
                  </a:ext>
                </a:extLst>
              </xdr:cNvPr>
              <xdr:cNvSpPr>
                <a:spLocks noChangeArrowheads="1"/>
              </xdr:cNvSpPr>
            </xdr:nvSpPr>
            <xdr:spPr bwMode="auto">
              <a:xfrm rot="-1760819">
                <a:off x="348" y="456"/>
                <a:ext cx="7" cy="17"/>
              </a:xfrm>
              <a:prstGeom prst="ellipse">
                <a:avLst/>
              </a:prstGeom>
              <a:solidFill>
                <a:srgbClr val="FFFFFF"/>
              </a:solidFill>
              <a:ln w="9525">
                <a:solidFill>
                  <a:srgbClr val="000000"/>
                </a:solidFill>
                <a:round/>
                <a:headEnd/>
                <a:tailEnd/>
              </a:ln>
            </xdr:spPr>
          </xdr:sp>
          <xdr:sp macro="" textlink="">
            <xdr:nvSpPr>
              <xdr:cNvPr id="12675" name="Freeform 1253">
                <a:extLst>
                  <a:ext uri="{FF2B5EF4-FFF2-40B4-BE49-F238E27FC236}">
                    <a16:creationId xmlns:a16="http://schemas.microsoft.com/office/drawing/2014/main" id="{00000000-0008-0000-1100-000083310000}"/>
                  </a:ext>
                </a:extLst>
              </xdr:cNvPr>
              <xdr:cNvSpPr>
                <a:spLocks/>
              </xdr:cNvSpPr>
            </xdr:nvSpPr>
            <xdr:spPr bwMode="auto">
              <a:xfrm>
                <a:off x="345" y="448"/>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676" name="Oval 1254">
                <a:extLst>
                  <a:ext uri="{FF2B5EF4-FFF2-40B4-BE49-F238E27FC236}">
                    <a16:creationId xmlns:a16="http://schemas.microsoft.com/office/drawing/2014/main" id="{00000000-0008-0000-1100-000084310000}"/>
                  </a:ext>
                </a:extLst>
              </xdr:cNvPr>
              <xdr:cNvSpPr>
                <a:spLocks noChangeArrowheads="1"/>
              </xdr:cNvSpPr>
            </xdr:nvSpPr>
            <xdr:spPr bwMode="auto">
              <a:xfrm rot="-1760819">
                <a:off x="346" y="451"/>
                <a:ext cx="12" cy="27"/>
              </a:xfrm>
              <a:prstGeom prst="ellipse">
                <a:avLst/>
              </a:prstGeom>
              <a:solidFill>
                <a:srgbClr val="FFFF99"/>
              </a:solidFill>
              <a:ln w="9525">
                <a:solidFill>
                  <a:srgbClr val="000000"/>
                </a:solidFill>
                <a:round/>
                <a:headEnd/>
                <a:tailEnd/>
              </a:ln>
            </xdr:spPr>
          </xdr:sp>
          <xdr:sp macro="" textlink="">
            <xdr:nvSpPr>
              <xdr:cNvPr id="12677" name="Freeform 1255">
                <a:extLst>
                  <a:ext uri="{FF2B5EF4-FFF2-40B4-BE49-F238E27FC236}">
                    <a16:creationId xmlns:a16="http://schemas.microsoft.com/office/drawing/2014/main" id="{00000000-0008-0000-1100-000085310000}"/>
                  </a:ext>
                </a:extLst>
              </xdr:cNvPr>
              <xdr:cNvSpPr>
                <a:spLocks/>
              </xdr:cNvSpPr>
            </xdr:nvSpPr>
            <xdr:spPr bwMode="auto">
              <a:xfrm>
                <a:off x="333" y="457"/>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678" name="Oval 1256">
                <a:extLst>
                  <a:ext uri="{FF2B5EF4-FFF2-40B4-BE49-F238E27FC236}">
                    <a16:creationId xmlns:a16="http://schemas.microsoft.com/office/drawing/2014/main" id="{00000000-0008-0000-1100-000086310000}"/>
                  </a:ext>
                </a:extLst>
              </xdr:cNvPr>
              <xdr:cNvSpPr>
                <a:spLocks noChangeArrowheads="1"/>
              </xdr:cNvSpPr>
            </xdr:nvSpPr>
            <xdr:spPr bwMode="auto">
              <a:xfrm rot="-1760819">
                <a:off x="334" y="464"/>
                <a:ext cx="7" cy="17"/>
              </a:xfrm>
              <a:prstGeom prst="ellipse">
                <a:avLst/>
              </a:prstGeom>
              <a:solidFill>
                <a:srgbClr val="FF9933"/>
              </a:solidFill>
              <a:ln w="9525">
                <a:solidFill>
                  <a:srgbClr val="000000"/>
                </a:solidFill>
                <a:round/>
                <a:headEnd/>
                <a:tailEnd/>
              </a:ln>
            </xdr:spPr>
          </xdr:sp>
        </xdr:grpSp>
        <xdr:sp macro="" textlink="">
          <xdr:nvSpPr>
            <xdr:cNvPr id="12387" name="Line 1257">
              <a:extLst>
                <a:ext uri="{FF2B5EF4-FFF2-40B4-BE49-F238E27FC236}">
                  <a16:creationId xmlns:a16="http://schemas.microsoft.com/office/drawing/2014/main" id="{00000000-0008-0000-1100-000063300000}"/>
                </a:ext>
              </a:extLst>
            </xdr:cNvPr>
            <xdr:cNvSpPr>
              <a:spLocks noChangeShapeType="1"/>
            </xdr:cNvSpPr>
          </xdr:nvSpPr>
          <xdr:spPr bwMode="auto">
            <a:xfrm>
              <a:off x="3433885" y="4609612"/>
              <a:ext cx="171450" cy="0"/>
            </a:xfrm>
            <a:prstGeom prst="line">
              <a:avLst/>
            </a:prstGeom>
            <a:noFill/>
            <a:ln w="38100">
              <a:solidFill>
                <a:srgbClr val="000000"/>
              </a:solidFill>
              <a:round/>
              <a:headEnd/>
              <a:tailEnd/>
            </a:ln>
          </xdr:spPr>
        </xdr:sp>
        <xdr:sp macro="" textlink="">
          <xdr:nvSpPr>
            <xdr:cNvPr id="12388" name="Line 1258">
              <a:extLst>
                <a:ext uri="{FF2B5EF4-FFF2-40B4-BE49-F238E27FC236}">
                  <a16:creationId xmlns:a16="http://schemas.microsoft.com/office/drawing/2014/main" id="{00000000-0008-0000-1100-000064300000}"/>
                </a:ext>
              </a:extLst>
            </xdr:cNvPr>
            <xdr:cNvSpPr>
              <a:spLocks noChangeShapeType="1"/>
            </xdr:cNvSpPr>
          </xdr:nvSpPr>
          <xdr:spPr bwMode="auto">
            <a:xfrm>
              <a:off x="3329110" y="1088537"/>
              <a:ext cx="4426438" cy="2193925"/>
            </a:xfrm>
            <a:prstGeom prst="line">
              <a:avLst/>
            </a:prstGeom>
            <a:noFill/>
            <a:ln w="25400">
              <a:solidFill>
                <a:srgbClr val="000000"/>
              </a:solidFill>
              <a:prstDash val="lgDashDotDot"/>
              <a:round/>
              <a:headEnd/>
              <a:tailEnd/>
            </a:ln>
          </xdr:spPr>
        </xdr:sp>
        <xdr:sp macro="" textlink="">
          <xdr:nvSpPr>
            <xdr:cNvPr id="12389" name="Line 1259">
              <a:extLst>
                <a:ext uri="{FF2B5EF4-FFF2-40B4-BE49-F238E27FC236}">
                  <a16:creationId xmlns:a16="http://schemas.microsoft.com/office/drawing/2014/main" id="{00000000-0008-0000-1100-000065300000}"/>
                </a:ext>
              </a:extLst>
            </xdr:cNvPr>
            <xdr:cNvSpPr>
              <a:spLocks noChangeShapeType="1"/>
            </xdr:cNvSpPr>
          </xdr:nvSpPr>
          <xdr:spPr bwMode="auto">
            <a:xfrm>
              <a:off x="3329110" y="1098062"/>
              <a:ext cx="0" cy="511175"/>
            </a:xfrm>
            <a:prstGeom prst="line">
              <a:avLst/>
            </a:prstGeom>
            <a:noFill/>
            <a:ln w="25400">
              <a:solidFill>
                <a:srgbClr val="000000"/>
              </a:solidFill>
              <a:round/>
              <a:headEnd/>
              <a:tailEnd type="triangle" w="lg" len="lg"/>
            </a:ln>
          </xdr:spPr>
        </xdr:sp>
        <xdr:sp macro="" textlink="">
          <xdr:nvSpPr>
            <xdr:cNvPr id="12390" name="Line 1260">
              <a:extLst>
                <a:ext uri="{FF2B5EF4-FFF2-40B4-BE49-F238E27FC236}">
                  <a16:creationId xmlns:a16="http://schemas.microsoft.com/office/drawing/2014/main" id="{00000000-0008-0000-1100-000066300000}"/>
                </a:ext>
              </a:extLst>
            </xdr:cNvPr>
            <xdr:cNvSpPr>
              <a:spLocks noChangeShapeType="1"/>
            </xdr:cNvSpPr>
          </xdr:nvSpPr>
          <xdr:spPr bwMode="auto">
            <a:xfrm>
              <a:off x="7765073" y="3282462"/>
              <a:ext cx="0" cy="514350"/>
            </a:xfrm>
            <a:prstGeom prst="line">
              <a:avLst/>
            </a:prstGeom>
            <a:noFill/>
            <a:ln w="25400">
              <a:solidFill>
                <a:srgbClr val="000000"/>
              </a:solidFill>
              <a:round/>
              <a:headEnd/>
              <a:tailEnd type="triangle" w="lg" len="lg"/>
            </a:ln>
          </xdr:spPr>
        </xdr:sp>
        <xdr:sp macro="" textlink="">
          <xdr:nvSpPr>
            <xdr:cNvPr id="137453" name="Text Box 1261">
              <a:extLst>
                <a:ext uri="{FF2B5EF4-FFF2-40B4-BE49-F238E27FC236}">
                  <a16:creationId xmlns:a16="http://schemas.microsoft.com/office/drawing/2014/main" id="{00000000-0008-0000-1100-0000ED180200}"/>
                </a:ext>
              </a:extLst>
            </xdr:cNvPr>
            <xdr:cNvSpPr txBox="1">
              <a:spLocks noChangeArrowheads="1"/>
            </xdr:cNvSpPr>
          </xdr:nvSpPr>
          <xdr:spPr bwMode="auto">
            <a:xfrm>
              <a:off x="7469798" y="3841262"/>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A</a:t>
              </a:r>
            </a:p>
          </xdr:txBody>
        </xdr:sp>
        <xdr:sp macro="" textlink="">
          <xdr:nvSpPr>
            <xdr:cNvPr id="137454" name="Text Box 1262">
              <a:extLst>
                <a:ext uri="{FF2B5EF4-FFF2-40B4-BE49-F238E27FC236}">
                  <a16:creationId xmlns:a16="http://schemas.microsoft.com/office/drawing/2014/main" id="{00000000-0008-0000-1100-0000EE180200}"/>
                </a:ext>
              </a:extLst>
            </xdr:cNvPr>
            <xdr:cNvSpPr txBox="1">
              <a:spLocks noChangeArrowheads="1"/>
            </xdr:cNvSpPr>
          </xdr:nvSpPr>
          <xdr:spPr bwMode="auto">
            <a:xfrm>
              <a:off x="3032858" y="1637812"/>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A</a:t>
              </a:r>
            </a:p>
          </xdr:txBody>
        </xdr:sp>
        <xdr:sp macro="" textlink="">
          <xdr:nvSpPr>
            <xdr:cNvPr id="137455" name="Text Box 1263">
              <a:extLst>
                <a:ext uri="{FF2B5EF4-FFF2-40B4-BE49-F238E27FC236}">
                  <a16:creationId xmlns:a16="http://schemas.microsoft.com/office/drawing/2014/main" id="{00000000-0008-0000-1100-0000EF180200}"/>
                </a:ext>
              </a:extLst>
            </xdr:cNvPr>
            <xdr:cNvSpPr txBox="1">
              <a:spLocks noChangeArrowheads="1"/>
            </xdr:cNvSpPr>
          </xdr:nvSpPr>
          <xdr:spPr bwMode="auto">
            <a:xfrm>
              <a:off x="1468804" y="7943362"/>
              <a:ext cx="1974606" cy="381000"/>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A-A</a:t>
              </a:r>
            </a:p>
          </xdr:txBody>
        </xdr:sp>
        <xdr:sp macro="" textlink="">
          <xdr:nvSpPr>
            <xdr:cNvPr id="137456" name="Text Box 1264">
              <a:extLst>
                <a:ext uri="{FF2B5EF4-FFF2-40B4-BE49-F238E27FC236}">
                  <a16:creationId xmlns:a16="http://schemas.microsoft.com/office/drawing/2014/main" id="{00000000-0008-0000-1100-0000F0180200}"/>
                </a:ext>
              </a:extLst>
            </xdr:cNvPr>
            <xdr:cNvSpPr txBox="1">
              <a:spLocks noChangeArrowheads="1"/>
            </xdr:cNvSpPr>
          </xdr:nvSpPr>
          <xdr:spPr bwMode="auto">
            <a:xfrm>
              <a:off x="6763971" y="7933837"/>
              <a:ext cx="1974606" cy="381000"/>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B-B</a:t>
              </a:r>
            </a:p>
          </xdr:txBody>
        </xdr:sp>
        <xdr:sp macro="" textlink="">
          <xdr:nvSpPr>
            <xdr:cNvPr id="12395" name="Line 1265">
              <a:extLst>
                <a:ext uri="{FF2B5EF4-FFF2-40B4-BE49-F238E27FC236}">
                  <a16:creationId xmlns:a16="http://schemas.microsoft.com/office/drawing/2014/main" id="{00000000-0008-0000-1100-00006B300000}"/>
                </a:ext>
              </a:extLst>
            </xdr:cNvPr>
            <xdr:cNvSpPr>
              <a:spLocks noChangeShapeType="1"/>
            </xdr:cNvSpPr>
          </xdr:nvSpPr>
          <xdr:spPr bwMode="auto">
            <a:xfrm>
              <a:off x="9091002" y="6832112"/>
              <a:ext cx="0" cy="260350"/>
            </a:xfrm>
            <a:prstGeom prst="line">
              <a:avLst/>
            </a:prstGeom>
            <a:noFill/>
            <a:ln w="9525">
              <a:solidFill>
                <a:srgbClr val="000000"/>
              </a:solidFill>
              <a:round/>
              <a:headEnd/>
              <a:tailEnd/>
            </a:ln>
          </xdr:spPr>
        </xdr:sp>
        <xdr:sp macro="" textlink="">
          <xdr:nvSpPr>
            <xdr:cNvPr id="12396" name="Line 1266">
              <a:extLst>
                <a:ext uri="{FF2B5EF4-FFF2-40B4-BE49-F238E27FC236}">
                  <a16:creationId xmlns:a16="http://schemas.microsoft.com/office/drawing/2014/main" id="{00000000-0008-0000-1100-00006C300000}"/>
                </a:ext>
              </a:extLst>
            </xdr:cNvPr>
            <xdr:cNvSpPr>
              <a:spLocks noChangeShapeType="1"/>
            </xdr:cNvSpPr>
          </xdr:nvSpPr>
          <xdr:spPr bwMode="auto">
            <a:xfrm rot="-5400000">
              <a:off x="9260254" y="7190887"/>
              <a:ext cx="196850" cy="0"/>
            </a:xfrm>
            <a:prstGeom prst="line">
              <a:avLst/>
            </a:prstGeom>
            <a:noFill/>
            <a:ln w="9525">
              <a:solidFill>
                <a:srgbClr val="000000"/>
              </a:solidFill>
              <a:prstDash val="sysDot"/>
              <a:round/>
              <a:headEnd/>
              <a:tailEnd/>
            </a:ln>
          </xdr:spPr>
        </xdr:sp>
        <xdr:sp macro="" textlink="">
          <xdr:nvSpPr>
            <xdr:cNvPr id="137459" name="Text Box 1267">
              <a:extLst>
                <a:ext uri="{FF2B5EF4-FFF2-40B4-BE49-F238E27FC236}">
                  <a16:creationId xmlns:a16="http://schemas.microsoft.com/office/drawing/2014/main" id="{00000000-0008-0000-1100-0000F3180200}"/>
                </a:ext>
              </a:extLst>
            </xdr:cNvPr>
            <xdr:cNvSpPr txBox="1">
              <a:spLocks noChangeArrowheads="1"/>
            </xdr:cNvSpPr>
          </xdr:nvSpPr>
          <xdr:spPr bwMode="auto">
            <a:xfrm>
              <a:off x="3138610" y="3393587"/>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B</a:t>
              </a:r>
            </a:p>
          </xdr:txBody>
        </xdr:sp>
        <xdr:sp macro="" textlink="">
          <xdr:nvSpPr>
            <xdr:cNvPr id="12398" name="Line 1268">
              <a:extLst>
                <a:ext uri="{FF2B5EF4-FFF2-40B4-BE49-F238E27FC236}">
                  <a16:creationId xmlns:a16="http://schemas.microsoft.com/office/drawing/2014/main" id="{00000000-0008-0000-1100-00006E300000}"/>
                </a:ext>
              </a:extLst>
            </xdr:cNvPr>
            <xdr:cNvSpPr>
              <a:spLocks noChangeShapeType="1"/>
            </xdr:cNvSpPr>
          </xdr:nvSpPr>
          <xdr:spPr bwMode="auto">
            <a:xfrm>
              <a:off x="7526948" y="516060"/>
              <a:ext cx="0" cy="477227"/>
            </a:xfrm>
            <a:prstGeom prst="line">
              <a:avLst/>
            </a:prstGeom>
            <a:noFill/>
            <a:ln w="25400">
              <a:solidFill>
                <a:srgbClr val="000000"/>
              </a:solidFill>
              <a:round/>
              <a:headEnd/>
              <a:tailEnd type="triangle" w="lg" len="lg"/>
            </a:ln>
          </xdr:spPr>
        </xdr:sp>
        <xdr:sp macro="" textlink="">
          <xdr:nvSpPr>
            <xdr:cNvPr id="137461" name="Text Box 1269">
              <a:extLst>
                <a:ext uri="{FF2B5EF4-FFF2-40B4-BE49-F238E27FC236}">
                  <a16:creationId xmlns:a16="http://schemas.microsoft.com/office/drawing/2014/main" id="{00000000-0008-0000-1100-0000F5180200}"/>
                </a:ext>
              </a:extLst>
            </xdr:cNvPr>
            <xdr:cNvSpPr txBox="1">
              <a:spLocks noChangeArrowheads="1"/>
            </xdr:cNvSpPr>
          </xdr:nvSpPr>
          <xdr:spPr bwMode="auto">
            <a:xfrm>
              <a:off x="7221171" y="1012337"/>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B</a:t>
              </a:r>
            </a:p>
          </xdr:txBody>
        </xdr:sp>
        <xdr:sp macro="" textlink="">
          <xdr:nvSpPr>
            <xdr:cNvPr id="137462" name="AutoShape 1270">
              <a:extLst>
                <a:ext uri="{FF2B5EF4-FFF2-40B4-BE49-F238E27FC236}">
                  <a16:creationId xmlns:a16="http://schemas.microsoft.com/office/drawing/2014/main" id="{00000000-0008-0000-1100-0000F6180200}"/>
                </a:ext>
              </a:extLst>
            </xdr:cNvPr>
            <xdr:cNvSpPr>
              <a:spLocks/>
            </xdr:cNvSpPr>
          </xdr:nvSpPr>
          <xdr:spPr bwMode="auto">
            <a:xfrm>
              <a:off x="180975" y="5111262"/>
              <a:ext cx="1717431" cy="962025"/>
            </a:xfrm>
            <a:prstGeom prst="accentCallout1">
              <a:avLst>
                <a:gd name="adj1" fmla="val 11653"/>
                <a:gd name="adj2" fmla="val 104444"/>
                <a:gd name="adj3" fmla="val -137866"/>
                <a:gd name="adj4" fmla="val 155000"/>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Pack Cover Attached to Module Tray</a:t>
              </a:r>
            </a:p>
          </xdr:txBody>
        </xdr:sp>
        <xdr:sp macro="" textlink="">
          <xdr:nvSpPr>
            <xdr:cNvPr id="137463" name="AutoShape 1271">
              <a:extLst>
                <a:ext uri="{FF2B5EF4-FFF2-40B4-BE49-F238E27FC236}">
                  <a16:creationId xmlns:a16="http://schemas.microsoft.com/office/drawing/2014/main" id="{00000000-0008-0000-1100-0000F7180200}"/>
                </a:ext>
              </a:extLst>
            </xdr:cNvPr>
            <xdr:cNvSpPr>
              <a:spLocks/>
            </xdr:cNvSpPr>
          </xdr:nvSpPr>
          <xdr:spPr bwMode="auto">
            <a:xfrm>
              <a:off x="6131169" y="5206512"/>
              <a:ext cx="2346081" cy="736600"/>
            </a:xfrm>
            <a:prstGeom prst="accentCallout1">
              <a:avLst>
                <a:gd name="adj1" fmla="val 15190"/>
                <a:gd name="adj2" fmla="val 103250"/>
                <a:gd name="adj3" fmla="val 176943"/>
                <a:gd name="adj4" fmla="val 114164"/>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Compression Plate and Straps</a:t>
              </a:r>
            </a:p>
          </xdr:txBody>
        </xdr:sp>
        <xdr:sp macro="" textlink="">
          <xdr:nvSpPr>
            <xdr:cNvPr id="12402" name="Line 1272">
              <a:extLst>
                <a:ext uri="{FF2B5EF4-FFF2-40B4-BE49-F238E27FC236}">
                  <a16:creationId xmlns:a16="http://schemas.microsoft.com/office/drawing/2014/main" id="{00000000-0008-0000-1100-000072300000}"/>
                </a:ext>
              </a:extLst>
            </xdr:cNvPr>
            <xdr:cNvSpPr>
              <a:spLocks noChangeShapeType="1"/>
            </xdr:cNvSpPr>
          </xdr:nvSpPr>
          <xdr:spPr bwMode="auto">
            <a:xfrm>
              <a:off x="8560288" y="5360865"/>
              <a:ext cx="826966" cy="1312497"/>
            </a:xfrm>
            <a:prstGeom prst="line">
              <a:avLst/>
            </a:prstGeom>
            <a:noFill/>
            <a:ln w="19050">
              <a:solidFill>
                <a:srgbClr val="000000"/>
              </a:solidFill>
              <a:round/>
              <a:headEnd/>
              <a:tailEnd/>
            </a:ln>
          </xdr:spPr>
        </xdr:sp>
        <xdr:sp macro="" textlink="">
          <xdr:nvSpPr>
            <xdr:cNvPr id="137465" name="AutoShape 1273">
              <a:extLst>
                <a:ext uri="{FF2B5EF4-FFF2-40B4-BE49-F238E27FC236}">
                  <a16:creationId xmlns:a16="http://schemas.microsoft.com/office/drawing/2014/main" id="{00000000-0008-0000-1100-0000F9180200}"/>
                </a:ext>
              </a:extLst>
            </xdr:cNvPr>
            <xdr:cNvSpPr>
              <a:spLocks/>
            </xdr:cNvSpPr>
          </xdr:nvSpPr>
          <xdr:spPr bwMode="auto">
            <a:xfrm>
              <a:off x="943952" y="1440962"/>
              <a:ext cx="1240204" cy="628650"/>
            </a:xfrm>
            <a:prstGeom prst="accentCallout1">
              <a:avLst>
                <a:gd name="adj1" fmla="val 17912"/>
                <a:gd name="adj2" fmla="val 106153"/>
                <a:gd name="adj3" fmla="val 210449"/>
                <a:gd name="adj4" fmla="val 237694"/>
              </a:avLst>
            </a:prstGeom>
            <a:solidFill>
              <a:srgbClr val="FFFFFF"/>
            </a:solidFill>
            <a:ln w="19050">
              <a:solidFill>
                <a:srgbClr val="000000"/>
              </a:solidFill>
              <a:miter lim="800000"/>
              <a:headEnd/>
              <a:tailEnd/>
            </a:ln>
          </xdr:spPr>
          <xdr:txBody>
            <a:bodyPr vertOverflow="clip" wrap="square" lIns="45720" tIns="41148" rIns="45720" bIns="0" anchor="t" upright="1"/>
            <a:lstStyle/>
            <a:p>
              <a:pPr algn="ctr" rtl="0">
                <a:defRPr sz="1000"/>
              </a:pPr>
              <a:r>
                <a:rPr lang="en-US" sz="2000" b="1" i="0" u="none" strike="noStrike" baseline="0">
                  <a:solidFill>
                    <a:srgbClr val="000000"/>
                  </a:solidFill>
                  <a:latin typeface="Arial"/>
                  <a:cs typeface="Arial"/>
                </a:rPr>
                <a:t>Coolant  Outlet</a:t>
              </a:r>
            </a:p>
          </xdr:txBody>
        </xdr:sp>
        <xdr:sp macro="" textlink="">
          <xdr:nvSpPr>
            <xdr:cNvPr id="137466" name="AutoShape 1274">
              <a:extLst>
                <a:ext uri="{FF2B5EF4-FFF2-40B4-BE49-F238E27FC236}">
                  <a16:creationId xmlns:a16="http://schemas.microsoft.com/office/drawing/2014/main" id="{00000000-0008-0000-1100-0000FA180200}"/>
                </a:ext>
              </a:extLst>
            </xdr:cNvPr>
            <xdr:cNvSpPr>
              <a:spLocks/>
            </xdr:cNvSpPr>
          </xdr:nvSpPr>
          <xdr:spPr bwMode="auto">
            <a:xfrm>
              <a:off x="4158762" y="7924312"/>
              <a:ext cx="1230678" cy="625475"/>
            </a:xfrm>
            <a:prstGeom prst="accentCallout1">
              <a:avLst>
                <a:gd name="adj1" fmla="val 17912"/>
                <a:gd name="adj2" fmla="val 106204"/>
                <a:gd name="adj3" fmla="val -10449"/>
                <a:gd name="adj4" fmla="val 133333"/>
              </a:avLst>
            </a:prstGeom>
            <a:solidFill>
              <a:srgbClr val="FFFFFF"/>
            </a:solidFill>
            <a:ln w="19050">
              <a:solidFill>
                <a:srgbClr val="000000"/>
              </a:solidFill>
              <a:miter lim="800000"/>
              <a:headEnd/>
              <a:tailEnd/>
            </a:ln>
          </xdr:spPr>
          <xdr:txBody>
            <a:bodyPr vertOverflow="clip" wrap="square" lIns="45720" tIns="41148" rIns="45720" bIns="0" anchor="t" upright="1"/>
            <a:lstStyle/>
            <a:p>
              <a:pPr algn="ctr" rtl="0">
                <a:defRPr sz="1000"/>
              </a:pPr>
              <a:r>
                <a:rPr lang="en-US" sz="2000" b="1" i="0" u="none" strike="noStrike" baseline="0">
                  <a:solidFill>
                    <a:srgbClr val="000000"/>
                  </a:solidFill>
                  <a:latin typeface="Arial"/>
                  <a:cs typeface="Arial"/>
                </a:rPr>
                <a:t>Coolant Inlet</a:t>
              </a:r>
            </a:p>
          </xdr:txBody>
        </xdr:sp>
        <xdr:grpSp>
          <xdr:nvGrpSpPr>
            <xdr:cNvPr id="12405" name="Group 1275">
              <a:extLst>
                <a:ext uri="{FF2B5EF4-FFF2-40B4-BE49-F238E27FC236}">
                  <a16:creationId xmlns:a16="http://schemas.microsoft.com/office/drawing/2014/main" id="{00000000-0008-0000-1100-000075300000}"/>
                </a:ext>
              </a:extLst>
            </xdr:cNvPr>
            <xdr:cNvGrpSpPr>
              <a:grpSpLocks/>
            </xdr:cNvGrpSpPr>
          </xdr:nvGrpSpPr>
          <xdr:grpSpPr bwMode="auto">
            <a:xfrm>
              <a:off x="3110035" y="4076212"/>
              <a:ext cx="171450" cy="158750"/>
              <a:chOff x="295" y="443"/>
              <a:chExt cx="18" cy="17"/>
            </a:xfrm>
          </xdr:grpSpPr>
          <xdr:sp macro="" textlink="">
            <xdr:nvSpPr>
              <xdr:cNvPr id="12671" name="Line 1276">
                <a:extLst>
                  <a:ext uri="{FF2B5EF4-FFF2-40B4-BE49-F238E27FC236}">
                    <a16:creationId xmlns:a16="http://schemas.microsoft.com/office/drawing/2014/main" id="{00000000-0008-0000-1100-00007F310000}"/>
                  </a:ext>
                </a:extLst>
              </xdr:cNvPr>
              <xdr:cNvSpPr>
                <a:spLocks noChangeShapeType="1"/>
              </xdr:cNvSpPr>
            </xdr:nvSpPr>
            <xdr:spPr bwMode="auto">
              <a:xfrm>
                <a:off x="304" y="443"/>
                <a:ext cx="0" cy="17"/>
              </a:xfrm>
              <a:prstGeom prst="line">
                <a:avLst/>
              </a:prstGeom>
              <a:noFill/>
              <a:ln w="38100">
                <a:solidFill>
                  <a:srgbClr val="000000"/>
                </a:solidFill>
                <a:round/>
                <a:headEnd/>
                <a:tailEnd/>
              </a:ln>
            </xdr:spPr>
          </xdr:sp>
          <xdr:sp macro="" textlink="">
            <xdr:nvSpPr>
              <xdr:cNvPr id="12672" name="Line 1277">
                <a:extLst>
                  <a:ext uri="{FF2B5EF4-FFF2-40B4-BE49-F238E27FC236}">
                    <a16:creationId xmlns:a16="http://schemas.microsoft.com/office/drawing/2014/main" id="{00000000-0008-0000-1100-000080310000}"/>
                  </a:ext>
                </a:extLst>
              </xdr:cNvPr>
              <xdr:cNvSpPr>
                <a:spLocks noChangeShapeType="1"/>
              </xdr:cNvSpPr>
            </xdr:nvSpPr>
            <xdr:spPr bwMode="auto">
              <a:xfrm>
                <a:off x="295" y="451"/>
                <a:ext cx="18" cy="0"/>
              </a:xfrm>
              <a:prstGeom prst="line">
                <a:avLst/>
              </a:prstGeom>
              <a:noFill/>
              <a:ln w="38100">
                <a:solidFill>
                  <a:srgbClr val="000000"/>
                </a:solidFill>
                <a:round/>
                <a:headEnd/>
                <a:tailEnd/>
              </a:ln>
            </xdr:spPr>
          </xdr:sp>
        </xdr:grpSp>
        <xdr:sp macro="" textlink="">
          <xdr:nvSpPr>
            <xdr:cNvPr id="12406" name="Line 1278">
              <a:extLst>
                <a:ext uri="{FF2B5EF4-FFF2-40B4-BE49-F238E27FC236}">
                  <a16:creationId xmlns:a16="http://schemas.microsoft.com/office/drawing/2014/main" id="{00000000-0008-0000-1100-000076300000}"/>
                </a:ext>
              </a:extLst>
            </xdr:cNvPr>
            <xdr:cNvSpPr>
              <a:spLocks noChangeShapeType="1"/>
            </xdr:cNvSpPr>
          </xdr:nvSpPr>
          <xdr:spPr bwMode="auto">
            <a:xfrm>
              <a:off x="1978269" y="5250964"/>
              <a:ext cx="366346" cy="2393460"/>
            </a:xfrm>
            <a:prstGeom prst="line">
              <a:avLst/>
            </a:prstGeom>
            <a:noFill/>
            <a:ln w="19050">
              <a:solidFill>
                <a:srgbClr val="000000"/>
              </a:solidFill>
              <a:round/>
              <a:headEnd/>
              <a:tailEnd/>
            </a:ln>
          </xdr:spPr>
        </xdr:sp>
        <xdr:sp macro="" textlink="">
          <xdr:nvSpPr>
            <xdr:cNvPr id="137471" name="AutoShape 1279">
              <a:extLst>
                <a:ext uri="{FF2B5EF4-FFF2-40B4-BE49-F238E27FC236}">
                  <a16:creationId xmlns:a16="http://schemas.microsoft.com/office/drawing/2014/main" id="{00000000-0008-0000-1100-0000FF180200}"/>
                </a:ext>
              </a:extLst>
            </xdr:cNvPr>
            <xdr:cNvSpPr>
              <a:spLocks/>
            </xdr:cNvSpPr>
          </xdr:nvSpPr>
          <xdr:spPr bwMode="auto">
            <a:xfrm>
              <a:off x="2709008" y="5562112"/>
              <a:ext cx="2041280" cy="746125"/>
            </a:xfrm>
            <a:prstGeom prst="accentCallout1">
              <a:avLst>
                <a:gd name="adj1" fmla="val 15000"/>
                <a:gd name="adj2" fmla="val -3736"/>
                <a:gd name="adj3" fmla="val 145000"/>
                <a:gd name="adj4" fmla="val -9815"/>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Polymer Foam to Block Flow</a:t>
              </a:r>
            </a:p>
          </xdr:txBody>
        </xdr:sp>
        <xdr:sp macro="" textlink="">
          <xdr:nvSpPr>
            <xdr:cNvPr id="12408" name="Freeform 1280">
              <a:extLst>
                <a:ext uri="{FF2B5EF4-FFF2-40B4-BE49-F238E27FC236}">
                  <a16:creationId xmlns:a16="http://schemas.microsoft.com/office/drawing/2014/main" id="{00000000-0008-0000-1100-000078300000}"/>
                </a:ext>
              </a:extLst>
            </xdr:cNvPr>
            <xdr:cNvSpPr>
              <a:spLocks/>
            </xdr:cNvSpPr>
          </xdr:nvSpPr>
          <xdr:spPr bwMode="auto">
            <a:xfrm>
              <a:off x="2775683" y="2498237"/>
              <a:ext cx="2442307" cy="1279525"/>
            </a:xfrm>
            <a:custGeom>
              <a:avLst/>
              <a:gdLst>
                <a:gd name="T0" fmla="*/ 0 w 256"/>
                <a:gd name="T1" fmla="*/ 2147483647 h 137"/>
                <a:gd name="T2" fmla="*/ 2147483647 w 256"/>
                <a:gd name="T3" fmla="*/ 2147483647 h 137"/>
                <a:gd name="T4" fmla="*/ 2147483647 w 256"/>
                <a:gd name="T5" fmla="*/ 2147483647 h 137"/>
                <a:gd name="T6" fmla="*/ 2147483647 w 256"/>
                <a:gd name="T7" fmla="*/ 0 h 137"/>
                <a:gd name="T8" fmla="*/ 0 w 256"/>
                <a:gd name="T9" fmla="*/ 2147483647 h 137"/>
                <a:gd name="T10" fmla="*/ 0 60000 65536"/>
                <a:gd name="T11" fmla="*/ 0 60000 65536"/>
                <a:gd name="T12" fmla="*/ 0 60000 65536"/>
                <a:gd name="T13" fmla="*/ 0 60000 65536"/>
                <a:gd name="T14" fmla="*/ 0 60000 65536"/>
                <a:gd name="T15" fmla="*/ 0 w 256"/>
                <a:gd name="T16" fmla="*/ 0 h 137"/>
                <a:gd name="T17" fmla="*/ 256 w 256"/>
                <a:gd name="T18" fmla="*/ 137 h 137"/>
              </a:gdLst>
              <a:ahLst/>
              <a:cxnLst>
                <a:cxn ang="T10">
                  <a:pos x="T0" y="T1"/>
                </a:cxn>
                <a:cxn ang="T11">
                  <a:pos x="T2" y="T3"/>
                </a:cxn>
                <a:cxn ang="T12">
                  <a:pos x="T4" y="T5"/>
                </a:cxn>
                <a:cxn ang="T13">
                  <a:pos x="T6" y="T7"/>
                </a:cxn>
                <a:cxn ang="T14">
                  <a:pos x="T8" y="T9"/>
                </a:cxn>
              </a:cxnLst>
              <a:rect l="T15" t="T16" r="T17" b="T18"/>
              <a:pathLst>
                <a:path w="256" h="137">
                  <a:moveTo>
                    <a:pt x="0" y="16"/>
                  </a:moveTo>
                  <a:lnTo>
                    <a:pt x="231" y="137"/>
                  </a:lnTo>
                  <a:lnTo>
                    <a:pt x="256" y="122"/>
                  </a:lnTo>
                  <a:lnTo>
                    <a:pt x="28" y="0"/>
                  </a:lnTo>
                  <a:lnTo>
                    <a:pt x="0" y="16"/>
                  </a:lnTo>
                  <a:close/>
                </a:path>
              </a:pathLst>
            </a:custGeom>
            <a:solidFill>
              <a:srgbClr val="FFFFFF"/>
            </a:solidFill>
            <a:ln w="9525">
              <a:solidFill>
                <a:srgbClr val="000000"/>
              </a:solidFill>
              <a:round/>
              <a:headEnd/>
              <a:tailEnd/>
            </a:ln>
          </xdr:spPr>
        </xdr:sp>
        <xdr:sp macro="" textlink="">
          <xdr:nvSpPr>
            <xdr:cNvPr id="12409" name="Freeform 1281">
              <a:extLst>
                <a:ext uri="{FF2B5EF4-FFF2-40B4-BE49-F238E27FC236}">
                  <a16:creationId xmlns:a16="http://schemas.microsoft.com/office/drawing/2014/main" id="{00000000-0008-0000-1100-000079300000}"/>
                </a:ext>
              </a:extLst>
            </xdr:cNvPr>
            <xdr:cNvSpPr>
              <a:spLocks/>
            </xdr:cNvSpPr>
          </xdr:nvSpPr>
          <xdr:spPr bwMode="auto">
            <a:xfrm>
              <a:off x="4979865" y="3523762"/>
              <a:ext cx="238125" cy="254000"/>
            </a:xfrm>
            <a:custGeom>
              <a:avLst/>
              <a:gdLst>
                <a:gd name="T0" fmla="*/ 0 w 25"/>
                <a:gd name="T1" fmla="*/ 2147483647 h 27"/>
                <a:gd name="T2" fmla="*/ 0 w 25"/>
                <a:gd name="T3" fmla="*/ 2147483647 h 27"/>
                <a:gd name="T4" fmla="*/ 0 w 25"/>
                <a:gd name="T5" fmla="*/ 2147483647 h 27"/>
                <a:gd name="T6" fmla="*/ 0 w 25"/>
                <a:gd name="T7" fmla="*/ 2147483647 h 27"/>
                <a:gd name="T8" fmla="*/ 2147483647 w 25"/>
                <a:gd name="T9" fmla="*/ 0 h 27"/>
                <a:gd name="T10" fmla="*/ 2147483647 w 25"/>
                <a:gd name="T11" fmla="*/ 2147483647 h 27"/>
                <a:gd name="T12" fmla="*/ 2147483647 w 25"/>
                <a:gd name="T13" fmla="*/ 2147483647 h 27"/>
                <a:gd name="T14" fmla="*/ 2147483647 w 25"/>
                <a:gd name="T15" fmla="*/ 2147483647 h 27"/>
                <a:gd name="T16" fmla="*/ 0 w 25"/>
                <a:gd name="T17" fmla="*/ 2147483647 h 2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5"/>
                <a:gd name="T28" fmla="*/ 0 h 27"/>
                <a:gd name="T29" fmla="*/ 25 w 25"/>
                <a:gd name="T30" fmla="*/ 27 h 2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5" h="27">
                  <a:moveTo>
                    <a:pt x="0" y="27"/>
                  </a:moveTo>
                  <a:lnTo>
                    <a:pt x="0" y="22"/>
                  </a:lnTo>
                  <a:lnTo>
                    <a:pt x="0" y="17"/>
                  </a:lnTo>
                  <a:lnTo>
                    <a:pt x="0" y="14"/>
                  </a:lnTo>
                  <a:lnTo>
                    <a:pt x="20" y="0"/>
                  </a:lnTo>
                  <a:lnTo>
                    <a:pt x="23" y="2"/>
                  </a:lnTo>
                  <a:lnTo>
                    <a:pt x="25" y="6"/>
                  </a:lnTo>
                  <a:lnTo>
                    <a:pt x="25" y="11"/>
                  </a:lnTo>
                  <a:lnTo>
                    <a:pt x="0" y="27"/>
                  </a:lnTo>
                  <a:close/>
                </a:path>
              </a:pathLst>
            </a:custGeom>
            <a:solidFill>
              <a:srgbClr val="CCFFCC"/>
            </a:solidFill>
            <a:ln w="9525">
              <a:solidFill>
                <a:srgbClr val="000000"/>
              </a:solidFill>
              <a:round/>
              <a:headEnd/>
              <a:tailEnd/>
            </a:ln>
          </xdr:spPr>
        </xdr:sp>
        <xdr:sp macro="" textlink="">
          <xdr:nvSpPr>
            <xdr:cNvPr id="12410" name="Freeform 1282">
              <a:extLst>
                <a:ext uri="{FF2B5EF4-FFF2-40B4-BE49-F238E27FC236}">
                  <a16:creationId xmlns:a16="http://schemas.microsoft.com/office/drawing/2014/main" id="{00000000-0008-0000-1100-00007A300000}"/>
                </a:ext>
              </a:extLst>
            </xdr:cNvPr>
            <xdr:cNvSpPr>
              <a:spLocks/>
            </xdr:cNvSpPr>
          </xdr:nvSpPr>
          <xdr:spPr bwMode="auto">
            <a:xfrm>
              <a:off x="2804259" y="2422037"/>
              <a:ext cx="2366107" cy="1225550"/>
            </a:xfrm>
            <a:custGeom>
              <a:avLst/>
              <a:gdLst>
                <a:gd name="T0" fmla="*/ 0 w 245"/>
                <a:gd name="T1" fmla="*/ 2147483647 h 131"/>
                <a:gd name="T2" fmla="*/ 2147483647 w 245"/>
                <a:gd name="T3" fmla="*/ 2147483647 h 131"/>
                <a:gd name="T4" fmla="*/ 2147483647 w 245"/>
                <a:gd name="T5" fmla="*/ 2147483647 h 131"/>
                <a:gd name="T6" fmla="*/ 2147483647 w 245"/>
                <a:gd name="T7" fmla="*/ 2147483647 h 131"/>
                <a:gd name="T8" fmla="*/ 2147483647 w 245"/>
                <a:gd name="T9" fmla="*/ 2147483647 h 131"/>
                <a:gd name="T10" fmla="*/ 2147483647 w 245"/>
                <a:gd name="T11" fmla="*/ 2147483647 h 131"/>
                <a:gd name="T12" fmla="*/ 2147483647 w 245"/>
                <a:gd name="T13" fmla="*/ 2147483647 h 131"/>
                <a:gd name="T14" fmla="*/ 2147483647 w 245"/>
                <a:gd name="T15" fmla="*/ 2147483647 h 131"/>
                <a:gd name="T16" fmla="*/ 2147483647 w 245"/>
                <a:gd name="T17" fmla="*/ 2147483647 h 131"/>
                <a:gd name="T18" fmla="*/ 2147483647 w 245"/>
                <a:gd name="T19" fmla="*/ 2147483647 h 131"/>
                <a:gd name="T20" fmla="*/ 2147483647 w 245"/>
                <a:gd name="T21" fmla="*/ 2147483647 h 131"/>
                <a:gd name="T22" fmla="*/ 2147483647 w 245"/>
                <a:gd name="T23" fmla="*/ 2147483647 h 131"/>
                <a:gd name="T24" fmla="*/ 2147483647 w 245"/>
                <a:gd name="T25" fmla="*/ 2147483647 h 131"/>
                <a:gd name="T26" fmla="*/ 2147483647 w 245"/>
                <a:gd name="T27" fmla="*/ 2147483647 h 131"/>
                <a:gd name="T28" fmla="*/ 2147483647 w 245"/>
                <a:gd name="T29" fmla="*/ 0 h 131"/>
                <a:gd name="T30" fmla="*/ 2147483647 w 245"/>
                <a:gd name="T31" fmla="*/ 0 h 131"/>
                <a:gd name="T32" fmla="*/ 2147483647 w 245"/>
                <a:gd name="T33" fmla="*/ 2147483647 h 131"/>
                <a:gd name="T34" fmla="*/ 2147483647 w 245"/>
                <a:gd name="T35" fmla="*/ 2147483647 h 131"/>
                <a:gd name="T36" fmla="*/ 0 w 245"/>
                <a:gd name="T37" fmla="*/ 2147483647 h 131"/>
                <a:gd name="T38" fmla="*/ 0 w 245"/>
                <a:gd name="T39" fmla="*/ 2147483647 h 131"/>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245"/>
                <a:gd name="T61" fmla="*/ 0 h 131"/>
                <a:gd name="T62" fmla="*/ 245 w 245"/>
                <a:gd name="T63" fmla="*/ 131 h 131"/>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245" h="131">
                  <a:moveTo>
                    <a:pt x="0" y="13"/>
                  </a:moveTo>
                  <a:lnTo>
                    <a:pt x="4" y="15"/>
                  </a:lnTo>
                  <a:lnTo>
                    <a:pt x="218" y="128"/>
                  </a:lnTo>
                  <a:lnTo>
                    <a:pt x="220" y="129"/>
                  </a:lnTo>
                  <a:lnTo>
                    <a:pt x="226" y="131"/>
                  </a:lnTo>
                  <a:lnTo>
                    <a:pt x="230" y="130"/>
                  </a:lnTo>
                  <a:lnTo>
                    <a:pt x="235" y="127"/>
                  </a:lnTo>
                  <a:lnTo>
                    <a:pt x="239" y="125"/>
                  </a:lnTo>
                  <a:lnTo>
                    <a:pt x="243" y="121"/>
                  </a:lnTo>
                  <a:lnTo>
                    <a:pt x="245" y="119"/>
                  </a:lnTo>
                  <a:lnTo>
                    <a:pt x="244" y="116"/>
                  </a:lnTo>
                  <a:lnTo>
                    <a:pt x="241" y="113"/>
                  </a:lnTo>
                  <a:lnTo>
                    <a:pt x="31" y="4"/>
                  </a:lnTo>
                  <a:lnTo>
                    <a:pt x="25" y="1"/>
                  </a:lnTo>
                  <a:lnTo>
                    <a:pt x="21" y="0"/>
                  </a:lnTo>
                  <a:lnTo>
                    <a:pt x="16" y="0"/>
                  </a:lnTo>
                  <a:lnTo>
                    <a:pt x="9" y="4"/>
                  </a:lnTo>
                  <a:lnTo>
                    <a:pt x="3" y="8"/>
                  </a:lnTo>
                  <a:lnTo>
                    <a:pt x="0" y="11"/>
                  </a:lnTo>
                  <a:lnTo>
                    <a:pt x="0" y="13"/>
                  </a:lnTo>
                  <a:close/>
                </a:path>
              </a:pathLst>
            </a:custGeom>
            <a:solidFill>
              <a:srgbClr val="CCFFCC"/>
            </a:solidFill>
            <a:ln w="9525">
              <a:solidFill>
                <a:srgbClr val="000000"/>
              </a:solidFill>
              <a:round/>
              <a:headEnd/>
              <a:tailEnd/>
            </a:ln>
          </xdr:spPr>
        </xdr:sp>
        <xdr:sp macro="" textlink="">
          <xdr:nvSpPr>
            <xdr:cNvPr id="12411" name="Freeform 1283">
              <a:extLst>
                <a:ext uri="{FF2B5EF4-FFF2-40B4-BE49-F238E27FC236}">
                  <a16:creationId xmlns:a16="http://schemas.microsoft.com/office/drawing/2014/main" id="{00000000-0008-0000-1100-00007B300000}"/>
                </a:ext>
              </a:extLst>
            </xdr:cNvPr>
            <xdr:cNvSpPr>
              <a:spLocks/>
            </xdr:cNvSpPr>
          </xdr:nvSpPr>
          <xdr:spPr bwMode="auto">
            <a:xfrm>
              <a:off x="2785208" y="2545862"/>
              <a:ext cx="2194657" cy="1241425"/>
            </a:xfrm>
            <a:custGeom>
              <a:avLst/>
              <a:gdLst>
                <a:gd name="T0" fmla="*/ 2147483647 w 230"/>
                <a:gd name="T1" fmla="*/ 2147483647 h 133"/>
                <a:gd name="T2" fmla="*/ 0 w 230"/>
                <a:gd name="T3" fmla="*/ 2147483647 h 133"/>
                <a:gd name="T4" fmla="*/ 0 w 230"/>
                <a:gd name="T5" fmla="*/ 2147483647 h 133"/>
                <a:gd name="T6" fmla="*/ 2147483647 w 230"/>
                <a:gd name="T7" fmla="*/ 2147483647 h 133"/>
                <a:gd name="T8" fmla="*/ 2147483647 w 230"/>
                <a:gd name="T9" fmla="*/ 2147483647 h 133"/>
                <a:gd name="T10" fmla="*/ 2147483647 w 230"/>
                <a:gd name="T11" fmla="*/ 0 h 133"/>
                <a:gd name="T12" fmla="*/ 2147483647 w 230"/>
                <a:gd name="T13" fmla="*/ 2147483647 h 133"/>
                <a:gd name="T14" fmla="*/ 0 60000 65536"/>
                <a:gd name="T15" fmla="*/ 0 60000 65536"/>
                <a:gd name="T16" fmla="*/ 0 60000 65536"/>
                <a:gd name="T17" fmla="*/ 0 60000 65536"/>
                <a:gd name="T18" fmla="*/ 0 60000 65536"/>
                <a:gd name="T19" fmla="*/ 0 60000 65536"/>
                <a:gd name="T20" fmla="*/ 0 60000 65536"/>
                <a:gd name="T21" fmla="*/ 0 w 230"/>
                <a:gd name="T22" fmla="*/ 0 h 133"/>
                <a:gd name="T23" fmla="*/ 230 w 230"/>
                <a:gd name="T24" fmla="*/ 133 h 13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30" h="133">
                  <a:moveTo>
                    <a:pt x="2" y="2"/>
                  </a:moveTo>
                  <a:lnTo>
                    <a:pt x="0" y="5"/>
                  </a:lnTo>
                  <a:lnTo>
                    <a:pt x="0" y="12"/>
                  </a:lnTo>
                  <a:lnTo>
                    <a:pt x="230" y="133"/>
                  </a:lnTo>
                  <a:lnTo>
                    <a:pt x="230" y="120"/>
                  </a:lnTo>
                  <a:lnTo>
                    <a:pt x="4" y="0"/>
                  </a:lnTo>
                  <a:lnTo>
                    <a:pt x="2" y="2"/>
                  </a:lnTo>
                  <a:close/>
                </a:path>
              </a:pathLst>
            </a:custGeom>
            <a:solidFill>
              <a:srgbClr val="CCFFCC"/>
            </a:solidFill>
            <a:ln w="28575" cmpd="sng">
              <a:solidFill>
                <a:srgbClr val="00FFFF"/>
              </a:solidFill>
              <a:round/>
              <a:headEnd/>
              <a:tailEnd/>
            </a:ln>
          </xdr:spPr>
        </xdr:sp>
        <xdr:sp macro="" textlink="">
          <xdr:nvSpPr>
            <xdr:cNvPr id="12412" name="Oval 1284">
              <a:extLst>
                <a:ext uri="{FF2B5EF4-FFF2-40B4-BE49-F238E27FC236}">
                  <a16:creationId xmlns:a16="http://schemas.microsoft.com/office/drawing/2014/main" id="{00000000-0008-0000-1100-00007C300000}"/>
                </a:ext>
              </a:extLst>
            </xdr:cNvPr>
            <xdr:cNvSpPr>
              <a:spLocks noChangeArrowheads="1"/>
            </xdr:cNvSpPr>
          </xdr:nvSpPr>
          <xdr:spPr bwMode="auto">
            <a:xfrm>
              <a:off x="3863487" y="2926862"/>
              <a:ext cx="276225" cy="196850"/>
            </a:xfrm>
            <a:prstGeom prst="ellipse">
              <a:avLst/>
            </a:prstGeom>
            <a:gradFill rotWithShape="1">
              <a:gsLst>
                <a:gs pos="0">
                  <a:srgbClr val="69FFFF"/>
                </a:gs>
                <a:gs pos="50000">
                  <a:srgbClr val="CCFFCC"/>
                </a:gs>
                <a:gs pos="100000">
                  <a:srgbClr val="69FFFF"/>
                </a:gs>
              </a:gsLst>
              <a:lin ang="0" scaled="1"/>
            </a:gradFill>
            <a:ln w="9525">
              <a:solidFill>
                <a:srgbClr val="000000"/>
              </a:solidFill>
              <a:round/>
              <a:headEnd/>
              <a:tailEnd/>
            </a:ln>
          </xdr:spPr>
        </xdr:sp>
        <xdr:sp macro="" textlink="">
          <xdr:nvSpPr>
            <xdr:cNvPr id="12413" name="Rectangle 1285">
              <a:extLst>
                <a:ext uri="{FF2B5EF4-FFF2-40B4-BE49-F238E27FC236}">
                  <a16:creationId xmlns:a16="http://schemas.microsoft.com/office/drawing/2014/main" id="{00000000-0008-0000-1100-00007D300000}"/>
                </a:ext>
              </a:extLst>
            </xdr:cNvPr>
            <xdr:cNvSpPr>
              <a:spLocks noChangeArrowheads="1"/>
            </xdr:cNvSpPr>
          </xdr:nvSpPr>
          <xdr:spPr bwMode="auto">
            <a:xfrm>
              <a:off x="3863487" y="2853837"/>
              <a:ext cx="276225" cy="174625"/>
            </a:xfrm>
            <a:prstGeom prst="rect">
              <a:avLst/>
            </a:prstGeom>
            <a:gradFill rotWithShape="1">
              <a:gsLst>
                <a:gs pos="0">
                  <a:srgbClr val="69FFFF"/>
                </a:gs>
                <a:gs pos="50000">
                  <a:srgbClr val="CCFFCC"/>
                </a:gs>
                <a:gs pos="100000">
                  <a:srgbClr val="69FFFF"/>
                </a:gs>
              </a:gsLst>
              <a:lin ang="0" scaled="1"/>
            </a:gradFill>
            <a:ln w="9525">
              <a:noFill/>
              <a:miter lim="800000"/>
              <a:headEnd/>
              <a:tailEnd/>
            </a:ln>
          </xdr:spPr>
        </xdr:sp>
        <xdr:sp macro="" textlink="">
          <xdr:nvSpPr>
            <xdr:cNvPr id="12415" name="Line 1287">
              <a:extLst>
                <a:ext uri="{FF2B5EF4-FFF2-40B4-BE49-F238E27FC236}">
                  <a16:creationId xmlns:a16="http://schemas.microsoft.com/office/drawing/2014/main" id="{00000000-0008-0000-1100-00007F300000}"/>
                </a:ext>
              </a:extLst>
            </xdr:cNvPr>
            <xdr:cNvSpPr>
              <a:spLocks noChangeShapeType="1"/>
            </xdr:cNvSpPr>
          </xdr:nvSpPr>
          <xdr:spPr bwMode="auto">
            <a:xfrm>
              <a:off x="3863487" y="2844312"/>
              <a:ext cx="0" cy="193675"/>
            </a:xfrm>
            <a:prstGeom prst="line">
              <a:avLst/>
            </a:prstGeom>
            <a:noFill/>
            <a:ln w="9525">
              <a:solidFill>
                <a:srgbClr val="000000"/>
              </a:solidFill>
              <a:round/>
              <a:headEnd/>
              <a:tailEnd/>
            </a:ln>
          </xdr:spPr>
        </xdr:sp>
        <xdr:sp macro="" textlink="">
          <xdr:nvSpPr>
            <xdr:cNvPr id="12416" name="Line 1288">
              <a:extLst>
                <a:ext uri="{FF2B5EF4-FFF2-40B4-BE49-F238E27FC236}">
                  <a16:creationId xmlns:a16="http://schemas.microsoft.com/office/drawing/2014/main" id="{00000000-0008-0000-1100-000080300000}"/>
                </a:ext>
              </a:extLst>
            </xdr:cNvPr>
            <xdr:cNvSpPr>
              <a:spLocks noChangeShapeType="1"/>
            </xdr:cNvSpPr>
          </xdr:nvSpPr>
          <xdr:spPr bwMode="auto">
            <a:xfrm>
              <a:off x="4139712" y="2844312"/>
              <a:ext cx="0" cy="193675"/>
            </a:xfrm>
            <a:prstGeom prst="line">
              <a:avLst/>
            </a:prstGeom>
            <a:noFill/>
            <a:ln w="9525">
              <a:solidFill>
                <a:srgbClr val="000000"/>
              </a:solidFill>
              <a:round/>
              <a:headEnd/>
              <a:tailEnd/>
            </a:ln>
          </xdr:spPr>
        </xdr:sp>
        <xdr:sp macro="" textlink="">
          <xdr:nvSpPr>
            <xdr:cNvPr id="12417" name="Oval 1289">
              <a:extLst>
                <a:ext uri="{FF2B5EF4-FFF2-40B4-BE49-F238E27FC236}">
                  <a16:creationId xmlns:a16="http://schemas.microsoft.com/office/drawing/2014/main" id="{00000000-0008-0000-1100-000081300000}"/>
                </a:ext>
              </a:extLst>
            </xdr:cNvPr>
            <xdr:cNvSpPr>
              <a:spLocks noChangeArrowheads="1"/>
            </xdr:cNvSpPr>
          </xdr:nvSpPr>
          <xdr:spPr bwMode="auto">
            <a:xfrm>
              <a:off x="3863487" y="2739537"/>
              <a:ext cx="276225" cy="187325"/>
            </a:xfrm>
            <a:prstGeom prst="ellipse">
              <a:avLst/>
            </a:prstGeom>
            <a:solidFill>
              <a:srgbClr val="66FFFF"/>
            </a:solidFill>
            <a:ln w="9525">
              <a:solidFill>
                <a:srgbClr val="000000"/>
              </a:solidFill>
              <a:round/>
              <a:headEnd/>
              <a:tailEnd/>
            </a:ln>
          </xdr:spPr>
        </xdr:sp>
        <xdr:sp macro="" textlink="">
          <xdr:nvSpPr>
            <xdr:cNvPr id="12414" name="Oval 1286">
              <a:extLst>
                <a:ext uri="{FF2B5EF4-FFF2-40B4-BE49-F238E27FC236}">
                  <a16:creationId xmlns:a16="http://schemas.microsoft.com/office/drawing/2014/main" id="{00000000-0008-0000-1100-00007E300000}"/>
                </a:ext>
              </a:extLst>
            </xdr:cNvPr>
            <xdr:cNvSpPr>
              <a:spLocks noChangeArrowheads="1"/>
            </xdr:cNvSpPr>
          </xdr:nvSpPr>
          <xdr:spPr bwMode="auto">
            <a:xfrm>
              <a:off x="3879536" y="2756629"/>
              <a:ext cx="247650" cy="155489"/>
            </a:xfrm>
            <a:prstGeom prst="ellipse">
              <a:avLst/>
            </a:prstGeom>
            <a:solidFill>
              <a:srgbClr val="C0C0C0"/>
            </a:solidFill>
            <a:ln w="9525">
              <a:solidFill>
                <a:sysClr val="windowText" lastClr="000000"/>
              </a:solidFill>
              <a:round/>
              <a:headEnd/>
              <a:tailEnd/>
            </a:ln>
          </xdr:spPr>
        </xdr:sp>
        <xdr:sp macro="" textlink="">
          <xdr:nvSpPr>
            <xdr:cNvPr id="12418" name="Line 1290">
              <a:extLst>
                <a:ext uri="{FF2B5EF4-FFF2-40B4-BE49-F238E27FC236}">
                  <a16:creationId xmlns:a16="http://schemas.microsoft.com/office/drawing/2014/main" id="{00000000-0008-0000-1100-000082300000}"/>
                </a:ext>
              </a:extLst>
            </xdr:cNvPr>
            <xdr:cNvSpPr>
              <a:spLocks noChangeShapeType="1"/>
            </xdr:cNvSpPr>
          </xdr:nvSpPr>
          <xdr:spPr bwMode="auto">
            <a:xfrm>
              <a:off x="2771768" y="2640286"/>
              <a:ext cx="2208097" cy="1137476"/>
            </a:xfrm>
            <a:prstGeom prst="line">
              <a:avLst/>
            </a:prstGeom>
            <a:noFill/>
            <a:ln w="9525">
              <a:solidFill>
                <a:srgbClr val="000000"/>
              </a:solidFill>
              <a:round/>
              <a:headEnd/>
              <a:tailEnd/>
            </a:ln>
          </xdr:spPr>
        </xdr:sp>
        <xdr:sp macro="" textlink="">
          <xdr:nvSpPr>
            <xdr:cNvPr id="12419" name="Freeform 1291">
              <a:extLst>
                <a:ext uri="{FF2B5EF4-FFF2-40B4-BE49-F238E27FC236}">
                  <a16:creationId xmlns:a16="http://schemas.microsoft.com/office/drawing/2014/main" id="{00000000-0008-0000-1100-000083300000}"/>
                </a:ext>
              </a:extLst>
            </xdr:cNvPr>
            <xdr:cNvSpPr>
              <a:spLocks/>
            </xdr:cNvSpPr>
          </xdr:nvSpPr>
          <xdr:spPr bwMode="auto">
            <a:xfrm>
              <a:off x="4979865" y="3523762"/>
              <a:ext cx="190500" cy="123825"/>
            </a:xfrm>
            <a:custGeom>
              <a:avLst/>
              <a:gdLst>
                <a:gd name="T0" fmla="*/ 0 w 20"/>
                <a:gd name="T1" fmla="*/ 2147483647 h 13"/>
                <a:gd name="T2" fmla="*/ 2147483647 w 20"/>
                <a:gd name="T3" fmla="*/ 2147483647 h 13"/>
                <a:gd name="T4" fmla="*/ 2147483647 w 20"/>
                <a:gd name="T5" fmla="*/ 2147483647 h 13"/>
                <a:gd name="T6" fmla="*/ 2147483647 w 20"/>
                <a:gd name="T7" fmla="*/ 2147483647 h 13"/>
                <a:gd name="T8" fmla="*/ 2147483647 w 20"/>
                <a:gd name="T9" fmla="*/ 2147483647 h 13"/>
                <a:gd name="T10" fmla="*/ 2147483647 w 20"/>
                <a:gd name="T11" fmla="*/ 0 h 13"/>
                <a:gd name="T12" fmla="*/ 0 60000 65536"/>
                <a:gd name="T13" fmla="*/ 0 60000 65536"/>
                <a:gd name="T14" fmla="*/ 0 60000 65536"/>
                <a:gd name="T15" fmla="*/ 0 60000 65536"/>
                <a:gd name="T16" fmla="*/ 0 60000 65536"/>
                <a:gd name="T17" fmla="*/ 0 60000 65536"/>
                <a:gd name="T18" fmla="*/ 0 w 20"/>
                <a:gd name="T19" fmla="*/ 0 h 13"/>
                <a:gd name="T20" fmla="*/ 20 w 20"/>
                <a:gd name="T21" fmla="*/ 13 h 13"/>
              </a:gdLst>
              <a:ahLst/>
              <a:cxnLst>
                <a:cxn ang="T12">
                  <a:pos x="T0" y="T1"/>
                </a:cxn>
                <a:cxn ang="T13">
                  <a:pos x="T2" y="T3"/>
                </a:cxn>
                <a:cxn ang="T14">
                  <a:pos x="T4" y="T5"/>
                </a:cxn>
                <a:cxn ang="T15">
                  <a:pos x="T6" y="T7"/>
                </a:cxn>
                <a:cxn ang="T16">
                  <a:pos x="T8" y="T9"/>
                </a:cxn>
                <a:cxn ang="T17">
                  <a:pos x="T10" y="T11"/>
                </a:cxn>
              </a:cxnLst>
              <a:rect l="T18" t="T19" r="T20" b="T21"/>
              <a:pathLst>
                <a:path w="20" h="13">
                  <a:moveTo>
                    <a:pt x="0" y="13"/>
                  </a:moveTo>
                  <a:lnTo>
                    <a:pt x="5" y="12"/>
                  </a:lnTo>
                  <a:lnTo>
                    <a:pt x="10" y="10"/>
                  </a:lnTo>
                  <a:lnTo>
                    <a:pt x="15" y="6"/>
                  </a:lnTo>
                  <a:lnTo>
                    <a:pt x="19" y="2"/>
                  </a:lnTo>
                  <a:lnTo>
                    <a:pt x="20" y="0"/>
                  </a:lnTo>
                </a:path>
              </a:pathLst>
            </a:custGeom>
            <a:noFill/>
            <a:ln w="28575" cmpd="sng">
              <a:solidFill>
                <a:srgbClr val="00FFFF"/>
              </a:solidFill>
              <a:round/>
              <a:headEnd/>
              <a:tailEnd/>
            </a:ln>
          </xdr:spPr>
        </xdr:sp>
        <xdr:sp macro="" textlink="">
          <xdr:nvSpPr>
            <xdr:cNvPr id="12420" name="Line 1292">
              <a:extLst>
                <a:ext uri="{FF2B5EF4-FFF2-40B4-BE49-F238E27FC236}">
                  <a16:creationId xmlns:a16="http://schemas.microsoft.com/office/drawing/2014/main" id="{00000000-0008-0000-1100-000084300000}"/>
                </a:ext>
              </a:extLst>
            </xdr:cNvPr>
            <xdr:cNvSpPr>
              <a:spLocks noChangeShapeType="1"/>
            </xdr:cNvSpPr>
          </xdr:nvSpPr>
          <xdr:spPr bwMode="auto">
            <a:xfrm flipV="1">
              <a:off x="3433885" y="506535"/>
              <a:ext cx="4093063" cy="2356827"/>
            </a:xfrm>
            <a:prstGeom prst="line">
              <a:avLst/>
            </a:prstGeom>
            <a:noFill/>
            <a:ln w="25400">
              <a:solidFill>
                <a:srgbClr val="000000"/>
              </a:solidFill>
              <a:prstDash val="lgDashDotDot"/>
              <a:round/>
              <a:headEnd/>
              <a:tailEnd/>
            </a:ln>
          </xdr:spPr>
        </xdr:sp>
        <xdr:sp macro="" textlink="">
          <xdr:nvSpPr>
            <xdr:cNvPr id="12421" name="Line 1293">
              <a:extLst>
                <a:ext uri="{FF2B5EF4-FFF2-40B4-BE49-F238E27FC236}">
                  <a16:creationId xmlns:a16="http://schemas.microsoft.com/office/drawing/2014/main" id="{00000000-0008-0000-1100-000085300000}"/>
                </a:ext>
              </a:extLst>
            </xdr:cNvPr>
            <xdr:cNvSpPr>
              <a:spLocks noChangeShapeType="1"/>
            </xdr:cNvSpPr>
          </xdr:nvSpPr>
          <xdr:spPr bwMode="auto">
            <a:xfrm>
              <a:off x="3433885" y="2853837"/>
              <a:ext cx="0" cy="511175"/>
            </a:xfrm>
            <a:prstGeom prst="line">
              <a:avLst/>
            </a:prstGeom>
            <a:noFill/>
            <a:ln w="25400">
              <a:solidFill>
                <a:srgbClr val="000000"/>
              </a:solidFill>
              <a:round/>
              <a:headEnd/>
              <a:tailEnd type="triangle" w="lg" len="lg"/>
            </a:ln>
          </xdr:spPr>
        </xdr:sp>
        <xdr:sp macro="" textlink="">
          <xdr:nvSpPr>
            <xdr:cNvPr id="12422" name="AutoShape 1157">
              <a:extLst>
                <a:ext uri="{FF2B5EF4-FFF2-40B4-BE49-F238E27FC236}">
                  <a16:creationId xmlns:a16="http://schemas.microsoft.com/office/drawing/2014/main" id="{00000000-0008-0000-1100-000086300000}"/>
                </a:ext>
              </a:extLst>
            </xdr:cNvPr>
            <xdr:cNvSpPr>
              <a:spLocks noChangeArrowheads="1"/>
            </xdr:cNvSpPr>
          </xdr:nvSpPr>
          <xdr:spPr bwMode="auto">
            <a:xfrm rot="10800000" flipH="1" flipV="1">
              <a:off x="5923817" y="7632212"/>
              <a:ext cx="133350" cy="1428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423" name="AutoShape 1294">
              <a:extLst>
                <a:ext uri="{FF2B5EF4-FFF2-40B4-BE49-F238E27FC236}">
                  <a16:creationId xmlns:a16="http://schemas.microsoft.com/office/drawing/2014/main" id="{00000000-0008-0000-1100-000087300000}"/>
                </a:ext>
              </a:extLst>
            </xdr:cNvPr>
            <xdr:cNvSpPr>
              <a:spLocks noChangeArrowheads="1"/>
            </xdr:cNvSpPr>
          </xdr:nvSpPr>
          <xdr:spPr bwMode="auto">
            <a:xfrm rot="10800000" flipV="1">
              <a:off x="9358679" y="6457462"/>
              <a:ext cx="133350" cy="13970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5" name="Freeform 4">
              <a:extLst>
                <a:ext uri="{FF2B5EF4-FFF2-40B4-BE49-F238E27FC236}">
                  <a16:creationId xmlns:a16="http://schemas.microsoft.com/office/drawing/2014/main" id="{00000000-0008-0000-1100-000005000000}"/>
                </a:ext>
              </a:extLst>
            </xdr:cNvPr>
            <xdr:cNvSpPr/>
          </xdr:nvSpPr>
          <xdr:spPr>
            <a:xfrm>
              <a:off x="2776168" y="2535853"/>
              <a:ext cx="20232" cy="112680"/>
            </a:xfrm>
            <a:custGeom>
              <a:avLst/>
              <a:gdLst>
                <a:gd name="connsiteX0" fmla="*/ 32107 w 32107"/>
                <a:gd name="connsiteY0" fmla="*/ 0 h 117725"/>
                <a:gd name="connsiteX1" fmla="*/ 0 w 32107"/>
                <a:gd name="connsiteY1" fmla="*/ 58862 h 117725"/>
                <a:gd name="connsiteX2" fmla="*/ 5351 w 32107"/>
                <a:gd name="connsiteY2" fmla="*/ 85618 h 117725"/>
                <a:gd name="connsiteX3" fmla="*/ 5351 w 32107"/>
                <a:gd name="connsiteY3" fmla="*/ 117725 h 117725"/>
                <a:gd name="connsiteX0" fmla="*/ 26756 w 26756"/>
                <a:gd name="connsiteY0" fmla="*/ 0 h 117725"/>
                <a:gd name="connsiteX1" fmla="*/ 10959 w 26756"/>
                <a:gd name="connsiteY1" fmla="*/ 26938 h 117725"/>
                <a:gd name="connsiteX2" fmla="*/ 0 w 26756"/>
                <a:gd name="connsiteY2" fmla="*/ 85618 h 117725"/>
                <a:gd name="connsiteX3" fmla="*/ 0 w 26756"/>
                <a:gd name="connsiteY3" fmla="*/ 117725 h 117725"/>
                <a:gd name="connsiteX0" fmla="*/ 26756 w 26756"/>
                <a:gd name="connsiteY0" fmla="*/ 0 h 117725"/>
                <a:gd name="connsiteX1" fmla="*/ 10959 w 26756"/>
                <a:gd name="connsiteY1" fmla="*/ 26938 h 117725"/>
                <a:gd name="connsiteX2" fmla="*/ 3262 w 26756"/>
                <a:gd name="connsiteY2" fmla="*/ 66463 h 117725"/>
                <a:gd name="connsiteX3" fmla="*/ 0 w 26756"/>
                <a:gd name="connsiteY3" fmla="*/ 117725 h 117725"/>
                <a:gd name="connsiteX0" fmla="*/ 16970 w 16970"/>
                <a:gd name="connsiteY0" fmla="*/ 0 h 114533"/>
                <a:gd name="connsiteX1" fmla="*/ 10959 w 16970"/>
                <a:gd name="connsiteY1" fmla="*/ 23746 h 114533"/>
                <a:gd name="connsiteX2" fmla="*/ 3262 w 16970"/>
                <a:gd name="connsiteY2" fmla="*/ 63271 h 114533"/>
                <a:gd name="connsiteX3" fmla="*/ 0 w 16970"/>
                <a:gd name="connsiteY3" fmla="*/ 114533 h 114533"/>
                <a:gd name="connsiteX0" fmla="*/ 16970 w 16970"/>
                <a:gd name="connsiteY0" fmla="*/ 0 h 114533"/>
                <a:gd name="connsiteX1" fmla="*/ 4435 w 16970"/>
                <a:gd name="connsiteY1" fmla="*/ 33323 h 114533"/>
                <a:gd name="connsiteX2" fmla="*/ 3262 w 16970"/>
                <a:gd name="connsiteY2" fmla="*/ 63271 h 114533"/>
                <a:gd name="connsiteX3" fmla="*/ 0 w 16970"/>
                <a:gd name="connsiteY3" fmla="*/ 114533 h 114533"/>
                <a:gd name="connsiteX0" fmla="*/ 20232 w 20232"/>
                <a:gd name="connsiteY0" fmla="*/ 0 h 114533"/>
                <a:gd name="connsiteX1" fmla="*/ 7697 w 20232"/>
                <a:gd name="connsiteY1" fmla="*/ 33323 h 114533"/>
                <a:gd name="connsiteX2" fmla="*/ 0 w 20232"/>
                <a:gd name="connsiteY2" fmla="*/ 76041 h 114533"/>
                <a:gd name="connsiteX3" fmla="*/ 3262 w 20232"/>
                <a:gd name="connsiteY3" fmla="*/ 114533 h 114533"/>
              </a:gdLst>
              <a:ahLst/>
              <a:cxnLst>
                <a:cxn ang="0">
                  <a:pos x="connsiteX0" y="connsiteY0"/>
                </a:cxn>
                <a:cxn ang="0">
                  <a:pos x="connsiteX1" y="connsiteY1"/>
                </a:cxn>
                <a:cxn ang="0">
                  <a:pos x="connsiteX2" y="connsiteY2"/>
                </a:cxn>
                <a:cxn ang="0">
                  <a:pos x="connsiteX3" y="connsiteY3"/>
                </a:cxn>
              </a:cxnLst>
              <a:rect l="l" t="t" r="r" b="b"/>
              <a:pathLst>
                <a:path w="20232" h="114533">
                  <a:moveTo>
                    <a:pt x="20232" y="0"/>
                  </a:moveTo>
                  <a:lnTo>
                    <a:pt x="7697" y="33323"/>
                  </a:lnTo>
                  <a:lnTo>
                    <a:pt x="0" y="76041"/>
                  </a:lnTo>
                  <a:lnTo>
                    <a:pt x="3262" y="114533"/>
                  </a:lnTo>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4" name="Rectangle 13">
            <a:extLst>
              <a:ext uri="{FF2B5EF4-FFF2-40B4-BE49-F238E27FC236}">
                <a16:creationId xmlns:a16="http://schemas.microsoft.com/office/drawing/2014/main" id="{00000000-0008-0000-1100-00000E000000}"/>
              </a:ext>
            </a:extLst>
          </xdr:cNvPr>
          <xdr:cNvSpPr/>
        </xdr:nvSpPr>
        <xdr:spPr>
          <a:xfrm>
            <a:off x="488461" y="6887312"/>
            <a:ext cx="109904" cy="378558"/>
          </a:xfrm>
          <a:prstGeom prst="rect">
            <a:avLst/>
          </a:prstGeom>
          <a:solidFill>
            <a:schemeClr val="accent3">
              <a:lumMod val="60000"/>
              <a:lumOff val="4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7" name="Rectangle 586">
            <a:extLst>
              <a:ext uri="{FF2B5EF4-FFF2-40B4-BE49-F238E27FC236}">
                <a16:creationId xmlns:a16="http://schemas.microsoft.com/office/drawing/2014/main" id="{00000000-0008-0000-1100-00004B020000}"/>
              </a:ext>
            </a:extLst>
          </xdr:cNvPr>
          <xdr:cNvSpPr/>
        </xdr:nvSpPr>
        <xdr:spPr>
          <a:xfrm>
            <a:off x="4353168" y="6893168"/>
            <a:ext cx="109904" cy="378558"/>
          </a:xfrm>
          <a:prstGeom prst="rect">
            <a:avLst/>
          </a:prstGeom>
          <a:solidFill>
            <a:schemeClr val="accent3">
              <a:lumMod val="60000"/>
              <a:lumOff val="4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1" name="Group 20">
            <a:extLst>
              <a:ext uri="{FF2B5EF4-FFF2-40B4-BE49-F238E27FC236}">
                <a16:creationId xmlns:a16="http://schemas.microsoft.com/office/drawing/2014/main" id="{00000000-0008-0000-1100-000015000000}"/>
              </a:ext>
            </a:extLst>
          </xdr:cNvPr>
          <xdr:cNvGrpSpPr/>
        </xdr:nvGrpSpPr>
        <xdr:grpSpPr>
          <a:xfrm>
            <a:off x="439127" y="9695962"/>
            <a:ext cx="2880458" cy="1263650"/>
            <a:chOff x="439127" y="9695962"/>
            <a:chExt cx="2880458" cy="1263650"/>
          </a:xfrm>
        </xdr:grpSpPr>
        <xdr:sp macro="" textlink="">
          <xdr:nvSpPr>
            <xdr:cNvPr id="12425" name="AutoShape 1297">
              <a:extLst>
                <a:ext uri="{FF2B5EF4-FFF2-40B4-BE49-F238E27FC236}">
                  <a16:creationId xmlns:a16="http://schemas.microsoft.com/office/drawing/2014/main" id="{00000000-0008-0000-1100-000089300000}"/>
                </a:ext>
              </a:extLst>
            </xdr:cNvPr>
            <xdr:cNvSpPr>
              <a:spLocks noChangeArrowheads="1"/>
            </xdr:cNvSpPr>
          </xdr:nvSpPr>
          <xdr:spPr bwMode="auto">
            <a:xfrm>
              <a:off x="466725" y="9695962"/>
              <a:ext cx="2852860" cy="1263650"/>
            </a:xfrm>
            <a:prstGeom prst="roundRect">
              <a:avLst>
                <a:gd name="adj" fmla="val 11111"/>
              </a:avLst>
            </a:prstGeom>
            <a:solidFill>
              <a:srgbClr val="999933"/>
            </a:solidFill>
            <a:ln w="19050">
              <a:solidFill>
                <a:srgbClr val="000000"/>
              </a:solidFill>
              <a:round/>
              <a:headEnd/>
              <a:tailEnd/>
            </a:ln>
          </xdr:spPr>
        </xdr:sp>
        <xdr:sp macro="" textlink="">
          <xdr:nvSpPr>
            <xdr:cNvPr id="12426" name="AutoShape 1298">
              <a:extLst>
                <a:ext uri="{FF2B5EF4-FFF2-40B4-BE49-F238E27FC236}">
                  <a16:creationId xmlns:a16="http://schemas.microsoft.com/office/drawing/2014/main" id="{00000000-0008-0000-1100-00008A300000}"/>
                </a:ext>
              </a:extLst>
            </xdr:cNvPr>
            <xdr:cNvSpPr>
              <a:spLocks noChangeArrowheads="1"/>
            </xdr:cNvSpPr>
          </xdr:nvSpPr>
          <xdr:spPr bwMode="auto">
            <a:xfrm>
              <a:off x="552450" y="9772162"/>
              <a:ext cx="2690935" cy="1101725"/>
            </a:xfrm>
            <a:prstGeom prst="roundRect">
              <a:avLst>
                <a:gd name="adj" fmla="val 6616"/>
              </a:avLst>
            </a:prstGeom>
            <a:solidFill>
              <a:srgbClr val="FFFFFF"/>
            </a:solidFill>
            <a:ln w="19050">
              <a:solidFill>
                <a:srgbClr val="000000"/>
              </a:solidFill>
              <a:round/>
              <a:headEnd/>
              <a:tailEnd/>
            </a:ln>
          </xdr:spPr>
        </xdr:sp>
        <xdr:sp macro="" textlink="">
          <xdr:nvSpPr>
            <xdr:cNvPr id="12427" name="Rectangle 1299" descr="10%">
              <a:extLst>
                <a:ext uri="{FF2B5EF4-FFF2-40B4-BE49-F238E27FC236}">
                  <a16:creationId xmlns:a16="http://schemas.microsoft.com/office/drawing/2014/main" id="{00000000-0008-0000-1100-00008B300000}"/>
                </a:ext>
              </a:extLst>
            </xdr:cNvPr>
            <xdr:cNvSpPr>
              <a:spLocks noChangeArrowheads="1"/>
            </xdr:cNvSpPr>
          </xdr:nvSpPr>
          <xdr:spPr bwMode="auto">
            <a:xfrm>
              <a:off x="3062410" y="9838837"/>
              <a:ext cx="171450" cy="942975"/>
            </a:xfrm>
            <a:prstGeom prst="rect">
              <a:avLst/>
            </a:prstGeom>
            <a:pattFill prst="pct10">
              <a:fgClr>
                <a:srgbClr val="000000"/>
              </a:fgClr>
              <a:bgClr>
                <a:srgbClr val="FFFF66"/>
              </a:bgClr>
            </a:pattFill>
            <a:ln w="9525">
              <a:solidFill>
                <a:srgbClr val="000000"/>
              </a:solidFill>
              <a:miter lim="800000"/>
              <a:headEnd/>
              <a:tailEnd/>
            </a:ln>
          </xdr:spPr>
        </xdr:sp>
        <xdr:sp macro="" textlink="">
          <xdr:nvSpPr>
            <xdr:cNvPr id="12428" name="Rectangle 1300">
              <a:extLst>
                <a:ext uri="{FF2B5EF4-FFF2-40B4-BE49-F238E27FC236}">
                  <a16:creationId xmlns:a16="http://schemas.microsoft.com/office/drawing/2014/main" id="{00000000-0008-0000-1100-00008C300000}"/>
                </a:ext>
              </a:extLst>
            </xdr:cNvPr>
            <xdr:cNvSpPr>
              <a:spLocks noChangeArrowheads="1"/>
            </xdr:cNvSpPr>
          </xdr:nvSpPr>
          <xdr:spPr bwMode="auto">
            <a:xfrm>
              <a:off x="552450" y="9838837"/>
              <a:ext cx="2509960" cy="942975"/>
            </a:xfrm>
            <a:prstGeom prst="rect">
              <a:avLst/>
            </a:prstGeom>
            <a:solidFill>
              <a:srgbClr val="C0C0C0"/>
            </a:solidFill>
            <a:ln w="9525">
              <a:solidFill>
                <a:srgbClr val="000000"/>
              </a:solidFill>
              <a:miter lim="800000"/>
              <a:headEnd/>
              <a:tailEnd/>
            </a:ln>
          </xdr:spPr>
        </xdr:sp>
        <xdr:sp macro="" textlink="">
          <xdr:nvSpPr>
            <xdr:cNvPr id="12429" name="Line 1302">
              <a:extLst>
                <a:ext uri="{FF2B5EF4-FFF2-40B4-BE49-F238E27FC236}">
                  <a16:creationId xmlns:a16="http://schemas.microsoft.com/office/drawing/2014/main" id="{00000000-0008-0000-1100-00008D300000}"/>
                </a:ext>
              </a:extLst>
            </xdr:cNvPr>
            <xdr:cNvSpPr>
              <a:spLocks noChangeShapeType="1"/>
            </xdr:cNvSpPr>
          </xdr:nvSpPr>
          <xdr:spPr bwMode="auto">
            <a:xfrm>
              <a:off x="600075" y="10854837"/>
              <a:ext cx="2576635" cy="0"/>
            </a:xfrm>
            <a:prstGeom prst="line">
              <a:avLst/>
            </a:prstGeom>
            <a:noFill/>
            <a:ln w="28575">
              <a:solidFill>
                <a:srgbClr val="0000FF"/>
              </a:solidFill>
              <a:round/>
              <a:headEnd/>
              <a:tailEnd/>
            </a:ln>
          </xdr:spPr>
        </xdr:sp>
        <xdr:sp macro="" textlink="">
          <xdr:nvSpPr>
            <xdr:cNvPr id="12430" name="Line 1303">
              <a:extLst>
                <a:ext uri="{FF2B5EF4-FFF2-40B4-BE49-F238E27FC236}">
                  <a16:creationId xmlns:a16="http://schemas.microsoft.com/office/drawing/2014/main" id="{00000000-0008-0000-1100-00008E300000}"/>
                </a:ext>
              </a:extLst>
            </xdr:cNvPr>
            <xdr:cNvSpPr>
              <a:spLocks noChangeShapeType="1"/>
            </xdr:cNvSpPr>
          </xdr:nvSpPr>
          <xdr:spPr bwMode="auto">
            <a:xfrm>
              <a:off x="715352" y="10791337"/>
              <a:ext cx="352425" cy="0"/>
            </a:xfrm>
            <a:prstGeom prst="line">
              <a:avLst/>
            </a:prstGeom>
            <a:noFill/>
            <a:ln w="28575">
              <a:solidFill>
                <a:srgbClr val="0000FF"/>
              </a:solidFill>
              <a:round/>
              <a:headEnd/>
              <a:tailEnd/>
            </a:ln>
          </xdr:spPr>
        </xdr:sp>
        <xdr:sp macro="" textlink="">
          <xdr:nvSpPr>
            <xdr:cNvPr id="12431" name="Line 1305">
              <a:extLst>
                <a:ext uri="{FF2B5EF4-FFF2-40B4-BE49-F238E27FC236}">
                  <a16:creationId xmlns:a16="http://schemas.microsoft.com/office/drawing/2014/main" id="{00000000-0008-0000-1100-00008F300000}"/>
                </a:ext>
              </a:extLst>
            </xdr:cNvPr>
            <xdr:cNvSpPr>
              <a:spLocks noChangeShapeType="1"/>
            </xdr:cNvSpPr>
          </xdr:nvSpPr>
          <xdr:spPr bwMode="auto">
            <a:xfrm>
              <a:off x="2861408" y="10791337"/>
              <a:ext cx="353402" cy="0"/>
            </a:xfrm>
            <a:prstGeom prst="line">
              <a:avLst/>
            </a:prstGeom>
            <a:noFill/>
            <a:ln w="28575">
              <a:solidFill>
                <a:srgbClr val="0000FF"/>
              </a:solidFill>
              <a:round/>
              <a:headEnd/>
              <a:tailEnd/>
            </a:ln>
          </xdr:spPr>
        </xdr:sp>
        <xdr:sp macro="" textlink="">
          <xdr:nvSpPr>
            <xdr:cNvPr id="12432" name="Line 1308">
              <a:extLst>
                <a:ext uri="{FF2B5EF4-FFF2-40B4-BE49-F238E27FC236}">
                  <a16:creationId xmlns:a16="http://schemas.microsoft.com/office/drawing/2014/main" id="{00000000-0008-0000-1100-000090300000}"/>
                </a:ext>
              </a:extLst>
            </xdr:cNvPr>
            <xdr:cNvSpPr>
              <a:spLocks noChangeShapeType="1"/>
            </xdr:cNvSpPr>
          </xdr:nvSpPr>
          <xdr:spPr bwMode="auto">
            <a:xfrm flipV="1">
              <a:off x="2956658" y="10791337"/>
              <a:ext cx="0" cy="63500"/>
            </a:xfrm>
            <a:prstGeom prst="line">
              <a:avLst/>
            </a:prstGeom>
            <a:noFill/>
            <a:ln w="28575">
              <a:solidFill>
                <a:srgbClr val="0000FF"/>
              </a:solidFill>
              <a:round/>
              <a:headEnd/>
              <a:tailEnd/>
            </a:ln>
          </xdr:spPr>
        </xdr:sp>
        <xdr:sp macro="" textlink="">
          <xdr:nvSpPr>
            <xdr:cNvPr id="12433" name="Line 1309">
              <a:extLst>
                <a:ext uri="{FF2B5EF4-FFF2-40B4-BE49-F238E27FC236}">
                  <a16:creationId xmlns:a16="http://schemas.microsoft.com/office/drawing/2014/main" id="{00000000-0008-0000-1100-000091300000}"/>
                </a:ext>
              </a:extLst>
            </xdr:cNvPr>
            <xdr:cNvSpPr>
              <a:spLocks noChangeShapeType="1"/>
            </xdr:cNvSpPr>
          </xdr:nvSpPr>
          <xdr:spPr bwMode="auto">
            <a:xfrm flipV="1">
              <a:off x="3110035" y="10791337"/>
              <a:ext cx="0" cy="63500"/>
            </a:xfrm>
            <a:prstGeom prst="line">
              <a:avLst/>
            </a:prstGeom>
            <a:noFill/>
            <a:ln w="28575">
              <a:solidFill>
                <a:srgbClr val="0000FF"/>
              </a:solidFill>
              <a:round/>
              <a:headEnd/>
              <a:tailEnd/>
            </a:ln>
          </xdr:spPr>
        </xdr:sp>
        <xdr:sp macro="" textlink="">
          <xdr:nvSpPr>
            <xdr:cNvPr id="12434" name="Line 1310">
              <a:extLst>
                <a:ext uri="{FF2B5EF4-FFF2-40B4-BE49-F238E27FC236}">
                  <a16:creationId xmlns:a16="http://schemas.microsoft.com/office/drawing/2014/main" id="{00000000-0008-0000-1100-000092300000}"/>
                </a:ext>
              </a:extLst>
            </xdr:cNvPr>
            <xdr:cNvSpPr>
              <a:spLocks noChangeShapeType="1"/>
            </xdr:cNvSpPr>
          </xdr:nvSpPr>
          <xdr:spPr bwMode="auto">
            <a:xfrm flipV="1">
              <a:off x="810602" y="10781812"/>
              <a:ext cx="0" cy="63500"/>
            </a:xfrm>
            <a:prstGeom prst="line">
              <a:avLst/>
            </a:prstGeom>
            <a:noFill/>
            <a:ln w="28575">
              <a:solidFill>
                <a:srgbClr val="0000FF"/>
              </a:solidFill>
              <a:round/>
              <a:headEnd/>
              <a:tailEnd/>
            </a:ln>
          </xdr:spPr>
        </xdr:sp>
        <xdr:sp macro="" textlink="">
          <xdr:nvSpPr>
            <xdr:cNvPr id="12435" name="Line 1311">
              <a:extLst>
                <a:ext uri="{FF2B5EF4-FFF2-40B4-BE49-F238E27FC236}">
                  <a16:creationId xmlns:a16="http://schemas.microsoft.com/office/drawing/2014/main" id="{00000000-0008-0000-1100-000093300000}"/>
                </a:ext>
              </a:extLst>
            </xdr:cNvPr>
            <xdr:cNvSpPr>
              <a:spLocks noChangeShapeType="1"/>
            </xdr:cNvSpPr>
          </xdr:nvSpPr>
          <xdr:spPr bwMode="auto">
            <a:xfrm flipV="1">
              <a:off x="963002" y="10781812"/>
              <a:ext cx="0" cy="63500"/>
            </a:xfrm>
            <a:prstGeom prst="line">
              <a:avLst/>
            </a:prstGeom>
            <a:noFill/>
            <a:ln w="28575">
              <a:solidFill>
                <a:srgbClr val="0000FF"/>
              </a:solidFill>
              <a:round/>
              <a:headEnd/>
              <a:tailEnd/>
            </a:ln>
          </xdr:spPr>
        </xdr:sp>
        <xdr:sp macro="" textlink="">
          <xdr:nvSpPr>
            <xdr:cNvPr id="12436" name="Rectangle 1322">
              <a:extLst>
                <a:ext uri="{FF2B5EF4-FFF2-40B4-BE49-F238E27FC236}">
                  <a16:creationId xmlns:a16="http://schemas.microsoft.com/office/drawing/2014/main" id="{00000000-0008-0000-1100-000094300000}"/>
                </a:ext>
              </a:extLst>
            </xdr:cNvPr>
            <xdr:cNvSpPr>
              <a:spLocks noChangeArrowheads="1"/>
            </xdr:cNvSpPr>
          </xdr:nvSpPr>
          <xdr:spPr bwMode="auto">
            <a:xfrm>
              <a:off x="3100510" y="10296037"/>
              <a:ext cx="76200" cy="352425"/>
            </a:xfrm>
            <a:prstGeom prst="rect">
              <a:avLst/>
            </a:prstGeom>
            <a:solidFill>
              <a:srgbClr val="FF9933"/>
            </a:solidFill>
            <a:ln w="9525">
              <a:solidFill>
                <a:srgbClr val="000000"/>
              </a:solidFill>
              <a:miter lim="800000"/>
              <a:headEnd/>
              <a:tailEnd/>
            </a:ln>
          </xdr:spPr>
        </xdr:sp>
        <xdr:grpSp>
          <xdr:nvGrpSpPr>
            <xdr:cNvPr id="12441" name="Group 411">
              <a:extLst>
                <a:ext uri="{FF2B5EF4-FFF2-40B4-BE49-F238E27FC236}">
                  <a16:creationId xmlns:a16="http://schemas.microsoft.com/office/drawing/2014/main" id="{00000000-0008-0000-1100-000099300000}"/>
                </a:ext>
              </a:extLst>
            </xdr:cNvPr>
            <xdr:cNvGrpSpPr>
              <a:grpSpLocks/>
            </xdr:cNvGrpSpPr>
          </xdr:nvGrpSpPr>
          <xdr:grpSpPr bwMode="auto">
            <a:xfrm>
              <a:off x="3062410" y="9921387"/>
              <a:ext cx="114300" cy="260350"/>
              <a:chOff x="0" y="0"/>
              <a:chExt cx="12" cy="28"/>
            </a:xfrm>
          </xdr:grpSpPr>
          <xdr:sp macro="" textlink="">
            <xdr:nvSpPr>
              <xdr:cNvPr id="12552" name="Rectangle 412">
                <a:extLst>
                  <a:ext uri="{FF2B5EF4-FFF2-40B4-BE49-F238E27FC236}">
                    <a16:creationId xmlns:a16="http://schemas.microsoft.com/office/drawing/2014/main" id="{00000000-0008-0000-1100-000008310000}"/>
                  </a:ext>
                </a:extLst>
              </xdr:cNvPr>
              <xdr:cNvSpPr>
                <a:spLocks noChangeArrowheads="1"/>
              </xdr:cNvSpPr>
            </xdr:nvSpPr>
            <xdr:spPr bwMode="auto">
              <a:xfrm>
                <a:off x="0" y="8"/>
                <a:ext cx="12" cy="11"/>
              </a:xfrm>
              <a:prstGeom prst="rect">
                <a:avLst/>
              </a:prstGeom>
              <a:solidFill>
                <a:srgbClr val="FF9933"/>
              </a:solidFill>
              <a:ln w="9525">
                <a:solidFill>
                  <a:srgbClr val="000000"/>
                </a:solidFill>
                <a:miter lim="800000"/>
                <a:headEnd/>
                <a:tailEnd/>
              </a:ln>
            </xdr:spPr>
          </xdr:sp>
          <xdr:sp macro="" textlink="">
            <xdr:nvSpPr>
              <xdr:cNvPr id="12553" name="Rectangle 413">
                <a:extLst>
                  <a:ext uri="{FF2B5EF4-FFF2-40B4-BE49-F238E27FC236}">
                    <a16:creationId xmlns:a16="http://schemas.microsoft.com/office/drawing/2014/main" id="{00000000-0008-0000-1100-000009310000}"/>
                  </a:ext>
                </a:extLst>
              </xdr:cNvPr>
              <xdr:cNvSpPr>
                <a:spLocks noChangeArrowheads="1"/>
              </xdr:cNvSpPr>
            </xdr:nvSpPr>
            <xdr:spPr bwMode="auto">
              <a:xfrm>
                <a:off x="6" y="5"/>
                <a:ext cx="4" cy="18"/>
              </a:xfrm>
              <a:prstGeom prst="rect">
                <a:avLst/>
              </a:prstGeom>
              <a:solidFill>
                <a:srgbClr val="FFCC00"/>
              </a:solidFill>
              <a:ln w="9525">
                <a:solidFill>
                  <a:srgbClr val="000000"/>
                </a:solidFill>
                <a:miter lim="800000"/>
                <a:headEnd/>
                <a:tailEnd/>
              </a:ln>
            </xdr:spPr>
          </xdr:sp>
          <xdr:sp macro="" textlink="">
            <xdr:nvSpPr>
              <xdr:cNvPr id="12554" name="Rectangle 414">
                <a:extLst>
                  <a:ext uri="{FF2B5EF4-FFF2-40B4-BE49-F238E27FC236}">
                    <a16:creationId xmlns:a16="http://schemas.microsoft.com/office/drawing/2014/main" id="{00000000-0008-0000-1100-00000A310000}"/>
                  </a:ext>
                </a:extLst>
              </xdr:cNvPr>
              <xdr:cNvSpPr>
                <a:spLocks noChangeArrowheads="1"/>
              </xdr:cNvSpPr>
            </xdr:nvSpPr>
            <xdr:spPr bwMode="auto">
              <a:xfrm>
                <a:off x="3" y="0"/>
                <a:ext cx="3" cy="28"/>
              </a:xfrm>
              <a:prstGeom prst="rect">
                <a:avLst/>
              </a:prstGeom>
              <a:solidFill>
                <a:srgbClr val="FF9933"/>
              </a:solidFill>
              <a:ln w="9525">
                <a:solidFill>
                  <a:srgbClr val="000000"/>
                </a:solidFill>
                <a:miter lim="800000"/>
                <a:headEnd/>
                <a:tailEnd/>
              </a:ln>
            </xdr:spPr>
          </xdr:sp>
          <xdr:sp macro="" textlink="">
            <xdr:nvSpPr>
              <xdr:cNvPr id="12555" name="Rectangle 415">
                <a:extLst>
                  <a:ext uri="{FF2B5EF4-FFF2-40B4-BE49-F238E27FC236}">
                    <a16:creationId xmlns:a16="http://schemas.microsoft.com/office/drawing/2014/main" id="{00000000-0008-0000-1100-00000B310000}"/>
                  </a:ext>
                </a:extLst>
              </xdr:cNvPr>
              <xdr:cNvSpPr>
                <a:spLocks noChangeArrowheads="1"/>
              </xdr:cNvSpPr>
            </xdr:nvSpPr>
            <xdr:spPr bwMode="auto">
              <a:xfrm>
                <a:off x="0" y="2"/>
                <a:ext cx="3" cy="24"/>
              </a:xfrm>
              <a:prstGeom prst="rect">
                <a:avLst/>
              </a:prstGeom>
              <a:solidFill>
                <a:srgbClr val="FF9933"/>
              </a:solidFill>
              <a:ln w="9525">
                <a:solidFill>
                  <a:srgbClr val="000000"/>
                </a:solidFill>
                <a:miter lim="800000"/>
                <a:headEnd/>
                <a:tailEnd/>
              </a:ln>
            </xdr:spPr>
          </xdr:sp>
        </xdr:grpSp>
        <xdr:sp macro="" textlink="">
          <xdr:nvSpPr>
            <xdr:cNvPr id="588" name="Rectangle 587">
              <a:extLst>
                <a:ext uri="{FF2B5EF4-FFF2-40B4-BE49-F238E27FC236}">
                  <a16:creationId xmlns:a16="http://schemas.microsoft.com/office/drawing/2014/main" id="{00000000-0008-0000-1100-00004C020000}"/>
                </a:ext>
              </a:extLst>
            </xdr:cNvPr>
            <xdr:cNvSpPr/>
          </xdr:nvSpPr>
          <xdr:spPr>
            <a:xfrm>
              <a:off x="439127" y="10098458"/>
              <a:ext cx="109904" cy="378558"/>
            </a:xfrm>
            <a:prstGeom prst="rect">
              <a:avLst/>
            </a:prstGeom>
            <a:solidFill>
              <a:schemeClr val="accent3">
                <a:lumMod val="60000"/>
                <a:lumOff val="4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89" name="AutoShape 1279">
            <a:extLst>
              <a:ext uri="{FF2B5EF4-FFF2-40B4-BE49-F238E27FC236}">
                <a16:creationId xmlns:a16="http://schemas.microsoft.com/office/drawing/2014/main" id="{00000000-0008-0000-1100-00004D020000}"/>
              </a:ext>
            </a:extLst>
          </xdr:cNvPr>
          <xdr:cNvSpPr>
            <a:spLocks/>
          </xdr:cNvSpPr>
        </xdr:nvSpPr>
        <xdr:spPr bwMode="auto">
          <a:xfrm>
            <a:off x="852610" y="8340481"/>
            <a:ext cx="1565275" cy="1270000"/>
          </a:xfrm>
          <a:prstGeom prst="accentCallout1">
            <a:avLst>
              <a:gd name="adj1" fmla="val 15000"/>
              <a:gd name="adj2" fmla="val -3736"/>
              <a:gd name="adj3" fmla="val 148846"/>
              <a:gd name="adj4" fmla="val -22297"/>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Pressure Relief Disk at Each</a:t>
            </a:r>
          </a:p>
          <a:p>
            <a:pPr algn="l" rtl="0">
              <a:defRPr sz="1000"/>
            </a:pPr>
            <a:r>
              <a:rPr lang="en-US" sz="2000" b="1" i="0" u="none" strike="noStrike" baseline="0">
                <a:solidFill>
                  <a:srgbClr val="000000"/>
                </a:solidFill>
                <a:latin typeface="Arial"/>
                <a:cs typeface="Arial"/>
              </a:rPr>
              <a:t>Module</a:t>
            </a:r>
          </a:p>
        </xdr:txBody>
      </xdr:sp>
      <xdr:cxnSp macro="">
        <xdr:nvCxnSpPr>
          <xdr:cNvPr id="18" name="Straight Connector 17">
            <a:extLst>
              <a:ext uri="{FF2B5EF4-FFF2-40B4-BE49-F238E27FC236}">
                <a16:creationId xmlns:a16="http://schemas.microsoft.com/office/drawing/2014/main" id="{00000000-0008-0000-1100-000012000000}"/>
              </a:ext>
            </a:extLst>
          </xdr:cNvPr>
          <xdr:cNvCxnSpPr>
            <a:endCxn id="12298" idx="1"/>
          </xdr:cNvCxnSpPr>
        </xdr:nvCxnSpPr>
        <xdr:spPr>
          <a:xfrm flipH="1" flipV="1">
            <a:off x="590550" y="7090875"/>
            <a:ext cx="203200" cy="1457202"/>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nvGrpSpPr>
          <xdr:cNvPr id="20" name="Group 19">
            <a:extLst>
              <a:ext uri="{FF2B5EF4-FFF2-40B4-BE49-F238E27FC236}">
                <a16:creationId xmlns:a16="http://schemas.microsoft.com/office/drawing/2014/main" id="{00000000-0008-0000-1100-000014000000}"/>
              </a:ext>
            </a:extLst>
          </xdr:cNvPr>
          <xdr:cNvGrpSpPr/>
        </xdr:nvGrpSpPr>
        <xdr:grpSpPr>
          <a:xfrm>
            <a:off x="3920637" y="9492762"/>
            <a:ext cx="5685692" cy="1670050"/>
            <a:chOff x="3920637" y="9492762"/>
            <a:chExt cx="5685692" cy="1670050"/>
          </a:xfrm>
        </xdr:grpSpPr>
        <xdr:sp macro="" textlink="">
          <xdr:nvSpPr>
            <xdr:cNvPr id="12556" name="AutoShape 1323">
              <a:extLst>
                <a:ext uri="{FF2B5EF4-FFF2-40B4-BE49-F238E27FC236}">
                  <a16:creationId xmlns:a16="http://schemas.microsoft.com/office/drawing/2014/main" id="{00000000-0008-0000-1100-00000C310000}"/>
                </a:ext>
              </a:extLst>
            </xdr:cNvPr>
            <xdr:cNvSpPr>
              <a:spLocks noChangeArrowheads="1"/>
            </xdr:cNvSpPr>
          </xdr:nvSpPr>
          <xdr:spPr bwMode="auto">
            <a:xfrm>
              <a:off x="3958796" y="9688690"/>
              <a:ext cx="5647533" cy="1278195"/>
            </a:xfrm>
            <a:prstGeom prst="roundRect">
              <a:avLst>
                <a:gd name="adj" fmla="val 11111"/>
              </a:avLst>
            </a:prstGeom>
            <a:solidFill>
              <a:srgbClr val="999933"/>
            </a:solidFill>
            <a:ln w="19050">
              <a:solidFill>
                <a:srgbClr val="000000"/>
              </a:solidFill>
              <a:round/>
              <a:headEnd/>
              <a:tailEnd/>
            </a:ln>
          </xdr:spPr>
        </xdr:sp>
        <xdr:sp macro="" textlink="">
          <xdr:nvSpPr>
            <xdr:cNvPr id="12557" name="AutoShape 1324">
              <a:extLst>
                <a:ext uri="{FF2B5EF4-FFF2-40B4-BE49-F238E27FC236}">
                  <a16:creationId xmlns:a16="http://schemas.microsoft.com/office/drawing/2014/main" id="{00000000-0008-0000-1100-00000D310000}"/>
                </a:ext>
              </a:extLst>
            </xdr:cNvPr>
            <xdr:cNvSpPr>
              <a:spLocks noChangeArrowheads="1"/>
            </xdr:cNvSpPr>
          </xdr:nvSpPr>
          <xdr:spPr bwMode="auto">
            <a:xfrm>
              <a:off x="4369005" y="9763329"/>
              <a:ext cx="5151466" cy="1138246"/>
            </a:xfrm>
            <a:prstGeom prst="roundRect">
              <a:avLst>
                <a:gd name="adj" fmla="val 6616"/>
              </a:avLst>
            </a:prstGeom>
            <a:solidFill>
              <a:srgbClr val="FFFFFF"/>
            </a:solidFill>
            <a:ln w="19050">
              <a:solidFill>
                <a:srgbClr val="000000"/>
              </a:solidFill>
              <a:round/>
              <a:headEnd/>
              <a:tailEnd/>
            </a:ln>
          </xdr:spPr>
        </xdr:sp>
        <xdr:sp macro="" textlink="">
          <xdr:nvSpPr>
            <xdr:cNvPr id="12558" name="Rectangle 1326" descr="Dark upward diagonal">
              <a:extLst>
                <a:ext uri="{FF2B5EF4-FFF2-40B4-BE49-F238E27FC236}">
                  <a16:creationId xmlns:a16="http://schemas.microsoft.com/office/drawing/2014/main" id="{00000000-0008-0000-1100-00000E310000}"/>
                </a:ext>
              </a:extLst>
            </xdr:cNvPr>
            <xdr:cNvSpPr>
              <a:spLocks noChangeArrowheads="1"/>
            </xdr:cNvSpPr>
          </xdr:nvSpPr>
          <xdr:spPr bwMode="auto">
            <a:xfrm>
              <a:off x="9377375" y="9837968"/>
              <a:ext cx="28619" cy="95164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559" name="Rectangle 1327" descr="Dark upward diagonal">
              <a:extLst>
                <a:ext uri="{FF2B5EF4-FFF2-40B4-BE49-F238E27FC236}">
                  <a16:creationId xmlns:a16="http://schemas.microsoft.com/office/drawing/2014/main" id="{00000000-0008-0000-1100-00000F310000}"/>
                </a:ext>
              </a:extLst>
            </xdr:cNvPr>
            <xdr:cNvSpPr>
              <a:spLocks noChangeArrowheads="1"/>
            </xdr:cNvSpPr>
          </xdr:nvSpPr>
          <xdr:spPr bwMode="auto">
            <a:xfrm>
              <a:off x="4388085" y="9856628"/>
              <a:ext cx="38159" cy="94231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560" name="Rectangle 1332">
              <a:extLst>
                <a:ext uri="{FF2B5EF4-FFF2-40B4-BE49-F238E27FC236}">
                  <a16:creationId xmlns:a16="http://schemas.microsoft.com/office/drawing/2014/main" id="{00000000-0008-0000-1100-000010310000}"/>
                </a:ext>
              </a:extLst>
            </xdr:cNvPr>
            <xdr:cNvSpPr>
              <a:spLocks noChangeArrowheads="1"/>
            </xdr:cNvSpPr>
          </xdr:nvSpPr>
          <xdr:spPr bwMode="auto">
            <a:xfrm>
              <a:off x="3920637" y="9492762"/>
              <a:ext cx="352971" cy="1642060"/>
            </a:xfrm>
            <a:prstGeom prst="rect">
              <a:avLst/>
            </a:prstGeom>
            <a:solidFill>
              <a:srgbClr val="FFFFFF"/>
            </a:solidFill>
            <a:ln w="9525">
              <a:noFill/>
              <a:miter lim="800000"/>
              <a:headEnd/>
              <a:tailEnd/>
            </a:ln>
          </xdr:spPr>
        </xdr:sp>
        <xdr:grpSp>
          <xdr:nvGrpSpPr>
            <xdr:cNvPr id="12561" name="Group 1351">
              <a:extLst>
                <a:ext uri="{FF2B5EF4-FFF2-40B4-BE49-F238E27FC236}">
                  <a16:creationId xmlns:a16="http://schemas.microsoft.com/office/drawing/2014/main" id="{00000000-0008-0000-1100-000011310000}"/>
                </a:ext>
              </a:extLst>
            </xdr:cNvPr>
            <xdr:cNvGrpSpPr>
              <a:grpSpLocks/>
            </xdr:cNvGrpSpPr>
          </xdr:nvGrpSpPr>
          <xdr:grpSpPr bwMode="auto">
            <a:xfrm>
              <a:off x="4445323" y="9492762"/>
              <a:ext cx="391130" cy="279897"/>
              <a:chOff x="595" y="629"/>
              <a:chExt cx="59" cy="30"/>
            </a:xfrm>
          </xdr:grpSpPr>
          <xdr:sp macro="" textlink="">
            <xdr:nvSpPr>
              <xdr:cNvPr id="12669" name="Rectangle 1352" descr="Wide downward diagonal">
                <a:extLst>
                  <a:ext uri="{FF2B5EF4-FFF2-40B4-BE49-F238E27FC236}">
                    <a16:creationId xmlns:a16="http://schemas.microsoft.com/office/drawing/2014/main" id="{00000000-0008-0000-1100-00007D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670" name="Rectangle 1353">
                <a:extLst>
                  <a:ext uri="{FF2B5EF4-FFF2-40B4-BE49-F238E27FC236}">
                    <a16:creationId xmlns:a16="http://schemas.microsoft.com/office/drawing/2014/main" id="{00000000-0008-0000-1100-00007E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562" name="Line 1354">
              <a:extLst>
                <a:ext uri="{FF2B5EF4-FFF2-40B4-BE49-F238E27FC236}">
                  <a16:creationId xmlns:a16="http://schemas.microsoft.com/office/drawing/2014/main" id="{00000000-0008-0000-1100-000012310000}"/>
                </a:ext>
              </a:extLst>
            </xdr:cNvPr>
            <xdr:cNvSpPr>
              <a:spLocks noChangeShapeType="1"/>
            </xdr:cNvSpPr>
          </xdr:nvSpPr>
          <xdr:spPr bwMode="auto">
            <a:xfrm>
              <a:off x="4414802" y="10884284"/>
              <a:ext cx="5000294" cy="0"/>
            </a:xfrm>
            <a:prstGeom prst="line">
              <a:avLst/>
            </a:prstGeom>
            <a:noFill/>
            <a:ln w="19050">
              <a:solidFill>
                <a:srgbClr val="0000FF"/>
              </a:solidFill>
              <a:round/>
              <a:headEnd/>
              <a:tailEnd/>
            </a:ln>
          </xdr:spPr>
        </xdr:sp>
        <xdr:sp macro="" textlink="">
          <xdr:nvSpPr>
            <xdr:cNvPr id="12563" name="Line 1355">
              <a:extLst>
                <a:ext uri="{FF2B5EF4-FFF2-40B4-BE49-F238E27FC236}">
                  <a16:creationId xmlns:a16="http://schemas.microsoft.com/office/drawing/2014/main" id="{00000000-0008-0000-1100-000013310000}"/>
                </a:ext>
              </a:extLst>
            </xdr:cNvPr>
            <xdr:cNvSpPr>
              <a:spLocks noChangeShapeType="1"/>
            </xdr:cNvSpPr>
          </xdr:nvSpPr>
          <xdr:spPr bwMode="auto">
            <a:xfrm>
              <a:off x="6725324" y="10826936"/>
              <a:ext cx="314812" cy="0"/>
            </a:xfrm>
            <a:prstGeom prst="line">
              <a:avLst/>
            </a:prstGeom>
            <a:noFill/>
            <a:ln w="19050">
              <a:solidFill>
                <a:srgbClr val="0000FF"/>
              </a:solidFill>
              <a:round/>
              <a:headEnd/>
              <a:tailEnd/>
            </a:ln>
          </xdr:spPr>
        </xdr:sp>
        <xdr:sp macro="" textlink="">
          <xdr:nvSpPr>
            <xdr:cNvPr id="12564" name="Line 1356">
              <a:extLst>
                <a:ext uri="{FF2B5EF4-FFF2-40B4-BE49-F238E27FC236}">
                  <a16:creationId xmlns:a16="http://schemas.microsoft.com/office/drawing/2014/main" id="{00000000-0008-0000-1100-000014310000}"/>
                </a:ext>
              </a:extLst>
            </xdr:cNvPr>
            <xdr:cNvSpPr>
              <a:spLocks noChangeShapeType="1"/>
            </xdr:cNvSpPr>
          </xdr:nvSpPr>
          <xdr:spPr bwMode="auto">
            <a:xfrm>
              <a:off x="5494696" y="10826936"/>
              <a:ext cx="314812" cy="0"/>
            </a:xfrm>
            <a:prstGeom prst="line">
              <a:avLst/>
            </a:prstGeom>
            <a:noFill/>
            <a:ln w="19050">
              <a:solidFill>
                <a:srgbClr val="0000FF"/>
              </a:solidFill>
              <a:round/>
              <a:headEnd/>
              <a:tailEnd/>
            </a:ln>
          </xdr:spPr>
        </xdr:sp>
        <xdr:sp macro="" textlink="">
          <xdr:nvSpPr>
            <xdr:cNvPr id="12565" name="Line 1357">
              <a:extLst>
                <a:ext uri="{FF2B5EF4-FFF2-40B4-BE49-F238E27FC236}">
                  <a16:creationId xmlns:a16="http://schemas.microsoft.com/office/drawing/2014/main" id="{00000000-0008-0000-1100-000015310000}"/>
                </a:ext>
              </a:extLst>
            </xdr:cNvPr>
            <xdr:cNvSpPr>
              <a:spLocks noChangeShapeType="1"/>
            </xdr:cNvSpPr>
          </xdr:nvSpPr>
          <xdr:spPr bwMode="auto">
            <a:xfrm>
              <a:off x="4378545" y="10817606"/>
              <a:ext cx="314812" cy="0"/>
            </a:xfrm>
            <a:prstGeom prst="line">
              <a:avLst/>
            </a:prstGeom>
            <a:noFill/>
            <a:ln w="19050">
              <a:solidFill>
                <a:srgbClr val="0000FF"/>
              </a:solidFill>
              <a:round/>
              <a:headEnd/>
              <a:tailEnd/>
            </a:ln>
          </xdr:spPr>
        </xdr:sp>
        <xdr:grpSp>
          <xdr:nvGrpSpPr>
            <xdr:cNvPr id="12567" name="Group 1504">
              <a:extLst>
                <a:ext uri="{FF2B5EF4-FFF2-40B4-BE49-F238E27FC236}">
                  <a16:creationId xmlns:a16="http://schemas.microsoft.com/office/drawing/2014/main" id="{00000000-0008-0000-1100-000017310000}"/>
                </a:ext>
              </a:extLst>
            </xdr:cNvPr>
            <xdr:cNvGrpSpPr>
              <a:grpSpLocks/>
            </xdr:cNvGrpSpPr>
          </xdr:nvGrpSpPr>
          <xdr:grpSpPr bwMode="auto">
            <a:xfrm>
              <a:off x="4206830" y="9679360"/>
              <a:ext cx="181255" cy="1287525"/>
              <a:chOff x="597" y="978"/>
              <a:chExt cx="19" cy="155"/>
            </a:xfrm>
          </xdr:grpSpPr>
          <xdr:sp macro="" textlink="">
            <xdr:nvSpPr>
              <xdr:cNvPr id="12648" name="Rectangle 1330">
                <a:extLst>
                  <a:ext uri="{FF2B5EF4-FFF2-40B4-BE49-F238E27FC236}">
                    <a16:creationId xmlns:a16="http://schemas.microsoft.com/office/drawing/2014/main" id="{00000000-0008-0000-1100-000068310000}"/>
                  </a:ext>
                </a:extLst>
              </xdr:cNvPr>
              <xdr:cNvSpPr>
                <a:spLocks noChangeArrowheads="1"/>
              </xdr:cNvSpPr>
            </xdr:nvSpPr>
            <xdr:spPr bwMode="auto">
              <a:xfrm>
                <a:off x="606" y="979"/>
                <a:ext cx="5" cy="8"/>
              </a:xfrm>
              <a:prstGeom prst="rect">
                <a:avLst/>
              </a:prstGeom>
              <a:solidFill>
                <a:srgbClr val="000000"/>
              </a:solidFill>
              <a:ln w="9525">
                <a:solidFill>
                  <a:srgbClr val="000000"/>
                </a:solidFill>
                <a:miter lim="800000"/>
                <a:headEnd/>
                <a:tailEnd/>
              </a:ln>
            </xdr:spPr>
          </xdr:sp>
          <xdr:sp macro="" textlink="">
            <xdr:nvSpPr>
              <xdr:cNvPr id="12649" name="Rectangle 1331">
                <a:extLst>
                  <a:ext uri="{FF2B5EF4-FFF2-40B4-BE49-F238E27FC236}">
                    <a16:creationId xmlns:a16="http://schemas.microsoft.com/office/drawing/2014/main" id="{00000000-0008-0000-1100-000069310000}"/>
                  </a:ext>
                </a:extLst>
              </xdr:cNvPr>
              <xdr:cNvSpPr>
                <a:spLocks noChangeArrowheads="1"/>
              </xdr:cNvSpPr>
            </xdr:nvSpPr>
            <xdr:spPr bwMode="auto">
              <a:xfrm>
                <a:off x="606" y="989"/>
                <a:ext cx="8" cy="134"/>
              </a:xfrm>
              <a:prstGeom prst="rect">
                <a:avLst/>
              </a:prstGeom>
              <a:solidFill>
                <a:srgbClr val="999933"/>
              </a:solidFill>
              <a:ln w="9525">
                <a:solidFill>
                  <a:srgbClr val="000000"/>
                </a:solidFill>
                <a:miter lim="800000"/>
                <a:headEnd/>
                <a:tailEnd/>
              </a:ln>
            </xdr:spPr>
          </xdr:sp>
          <xdr:sp macro="" textlink="">
            <xdr:nvSpPr>
              <xdr:cNvPr id="12650" name="Rectangle 1333" descr="Dark downward diagonal">
                <a:extLst>
                  <a:ext uri="{FF2B5EF4-FFF2-40B4-BE49-F238E27FC236}">
                    <a16:creationId xmlns:a16="http://schemas.microsoft.com/office/drawing/2014/main" id="{00000000-0008-0000-1100-00006A310000}"/>
                  </a:ext>
                </a:extLst>
              </xdr:cNvPr>
              <xdr:cNvSpPr>
                <a:spLocks noChangeArrowheads="1"/>
              </xdr:cNvSpPr>
            </xdr:nvSpPr>
            <xdr:spPr bwMode="auto">
              <a:xfrm>
                <a:off x="603" y="978"/>
                <a:ext cx="3" cy="155"/>
              </a:xfrm>
              <a:prstGeom prst="rect">
                <a:avLst/>
              </a:prstGeom>
              <a:pattFill prst="dkDnDiag">
                <a:fgClr>
                  <a:srgbClr val="000000"/>
                </a:fgClr>
                <a:bgClr>
                  <a:srgbClr val="6699FF"/>
                </a:bgClr>
              </a:pattFill>
              <a:ln w="9525">
                <a:solidFill>
                  <a:srgbClr val="000000"/>
                </a:solidFill>
                <a:miter lim="800000"/>
                <a:headEnd/>
                <a:tailEnd/>
              </a:ln>
            </xdr:spPr>
          </xdr:sp>
          <xdr:sp macro="" textlink="">
            <xdr:nvSpPr>
              <xdr:cNvPr id="12651" name="Rectangle 1334">
                <a:extLst>
                  <a:ext uri="{FF2B5EF4-FFF2-40B4-BE49-F238E27FC236}">
                    <a16:creationId xmlns:a16="http://schemas.microsoft.com/office/drawing/2014/main" id="{00000000-0008-0000-1100-00006B310000}"/>
                  </a:ext>
                </a:extLst>
              </xdr:cNvPr>
              <xdr:cNvSpPr>
                <a:spLocks noChangeArrowheads="1"/>
              </xdr:cNvSpPr>
            </xdr:nvSpPr>
            <xdr:spPr bwMode="auto">
              <a:xfrm>
                <a:off x="607" y="1124"/>
                <a:ext cx="5" cy="8"/>
              </a:xfrm>
              <a:prstGeom prst="rect">
                <a:avLst/>
              </a:prstGeom>
              <a:solidFill>
                <a:srgbClr val="000000"/>
              </a:solidFill>
              <a:ln w="9525">
                <a:solidFill>
                  <a:srgbClr val="000000"/>
                </a:solidFill>
                <a:miter lim="800000"/>
                <a:headEnd/>
                <a:tailEnd/>
              </a:ln>
            </xdr:spPr>
          </xdr:sp>
          <xdr:grpSp>
            <xdr:nvGrpSpPr>
              <xdr:cNvPr id="12652" name="Group 1335">
                <a:extLst>
                  <a:ext uri="{FF2B5EF4-FFF2-40B4-BE49-F238E27FC236}">
                    <a16:creationId xmlns:a16="http://schemas.microsoft.com/office/drawing/2014/main" id="{00000000-0008-0000-1100-00006C310000}"/>
                  </a:ext>
                </a:extLst>
              </xdr:cNvPr>
              <xdr:cNvGrpSpPr>
                <a:grpSpLocks/>
              </xdr:cNvGrpSpPr>
            </xdr:nvGrpSpPr>
            <xdr:grpSpPr bwMode="auto">
              <a:xfrm>
                <a:off x="597" y="978"/>
                <a:ext cx="15" cy="11"/>
                <a:chOff x="719" y="713"/>
                <a:chExt cx="15" cy="11"/>
              </a:xfrm>
            </xdr:grpSpPr>
            <xdr:grpSp>
              <xdr:nvGrpSpPr>
                <xdr:cNvPr id="12664" name="Group 1336">
                  <a:extLst>
                    <a:ext uri="{FF2B5EF4-FFF2-40B4-BE49-F238E27FC236}">
                      <a16:creationId xmlns:a16="http://schemas.microsoft.com/office/drawing/2014/main" id="{00000000-0008-0000-1100-000078310000}"/>
                    </a:ext>
                  </a:extLst>
                </xdr:cNvPr>
                <xdr:cNvGrpSpPr>
                  <a:grpSpLocks/>
                </xdr:cNvGrpSpPr>
              </xdr:nvGrpSpPr>
              <xdr:grpSpPr bwMode="auto">
                <a:xfrm>
                  <a:off x="719" y="713"/>
                  <a:ext cx="5" cy="11"/>
                  <a:chOff x="719" y="713"/>
                  <a:chExt cx="5" cy="10"/>
                </a:xfrm>
              </xdr:grpSpPr>
              <xdr:sp macro="" textlink="">
                <xdr:nvSpPr>
                  <xdr:cNvPr id="12666" name="Rectangle 1337">
                    <a:extLst>
                      <a:ext uri="{FF2B5EF4-FFF2-40B4-BE49-F238E27FC236}">
                        <a16:creationId xmlns:a16="http://schemas.microsoft.com/office/drawing/2014/main" id="{00000000-0008-0000-1100-00007A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667" name="Line 1338">
                    <a:extLst>
                      <a:ext uri="{FF2B5EF4-FFF2-40B4-BE49-F238E27FC236}">
                        <a16:creationId xmlns:a16="http://schemas.microsoft.com/office/drawing/2014/main" id="{00000000-0008-0000-1100-00007B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668" name="Line 1339">
                    <a:extLst>
                      <a:ext uri="{FF2B5EF4-FFF2-40B4-BE49-F238E27FC236}">
                        <a16:creationId xmlns:a16="http://schemas.microsoft.com/office/drawing/2014/main" id="{00000000-0008-0000-1100-00007C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665" name="Rectangle 1340" descr="Dark upward diagonal">
                  <a:extLst>
                    <a:ext uri="{FF2B5EF4-FFF2-40B4-BE49-F238E27FC236}">
                      <a16:creationId xmlns:a16="http://schemas.microsoft.com/office/drawing/2014/main" id="{00000000-0008-0000-1100-00007931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653" name="Group 1341">
                <a:extLst>
                  <a:ext uri="{FF2B5EF4-FFF2-40B4-BE49-F238E27FC236}">
                    <a16:creationId xmlns:a16="http://schemas.microsoft.com/office/drawing/2014/main" id="{00000000-0008-0000-1100-00006D310000}"/>
                  </a:ext>
                </a:extLst>
              </xdr:cNvPr>
              <xdr:cNvGrpSpPr>
                <a:grpSpLocks/>
              </xdr:cNvGrpSpPr>
            </xdr:nvGrpSpPr>
            <xdr:grpSpPr bwMode="auto">
              <a:xfrm>
                <a:off x="598" y="1122"/>
                <a:ext cx="15" cy="11"/>
                <a:chOff x="719" y="713"/>
                <a:chExt cx="15" cy="11"/>
              </a:xfrm>
            </xdr:grpSpPr>
            <xdr:grpSp>
              <xdr:nvGrpSpPr>
                <xdr:cNvPr id="12659" name="Group 1342">
                  <a:extLst>
                    <a:ext uri="{FF2B5EF4-FFF2-40B4-BE49-F238E27FC236}">
                      <a16:creationId xmlns:a16="http://schemas.microsoft.com/office/drawing/2014/main" id="{00000000-0008-0000-1100-000073310000}"/>
                    </a:ext>
                  </a:extLst>
                </xdr:cNvPr>
                <xdr:cNvGrpSpPr>
                  <a:grpSpLocks/>
                </xdr:cNvGrpSpPr>
              </xdr:nvGrpSpPr>
              <xdr:grpSpPr bwMode="auto">
                <a:xfrm>
                  <a:off x="719" y="713"/>
                  <a:ext cx="5" cy="11"/>
                  <a:chOff x="719" y="713"/>
                  <a:chExt cx="5" cy="10"/>
                </a:xfrm>
              </xdr:grpSpPr>
              <xdr:sp macro="" textlink="">
                <xdr:nvSpPr>
                  <xdr:cNvPr id="12661" name="Rectangle 1343">
                    <a:extLst>
                      <a:ext uri="{FF2B5EF4-FFF2-40B4-BE49-F238E27FC236}">
                        <a16:creationId xmlns:a16="http://schemas.microsoft.com/office/drawing/2014/main" id="{00000000-0008-0000-1100-000075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662" name="Line 1344">
                    <a:extLst>
                      <a:ext uri="{FF2B5EF4-FFF2-40B4-BE49-F238E27FC236}">
                        <a16:creationId xmlns:a16="http://schemas.microsoft.com/office/drawing/2014/main" id="{00000000-0008-0000-1100-000076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663" name="Line 1345">
                    <a:extLst>
                      <a:ext uri="{FF2B5EF4-FFF2-40B4-BE49-F238E27FC236}">
                        <a16:creationId xmlns:a16="http://schemas.microsoft.com/office/drawing/2014/main" id="{00000000-0008-0000-1100-000077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660" name="Rectangle 1346" descr="Dark upward diagonal">
                  <a:extLst>
                    <a:ext uri="{FF2B5EF4-FFF2-40B4-BE49-F238E27FC236}">
                      <a16:creationId xmlns:a16="http://schemas.microsoft.com/office/drawing/2014/main" id="{00000000-0008-0000-1100-00007431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654" name="Group 1347">
                <a:extLst>
                  <a:ext uri="{FF2B5EF4-FFF2-40B4-BE49-F238E27FC236}">
                    <a16:creationId xmlns:a16="http://schemas.microsoft.com/office/drawing/2014/main" id="{00000000-0008-0000-1100-00006E310000}"/>
                  </a:ext>
                </a:extLst>
              </xdr:cNvPr>
              <xdr:cNvGrpSpPr>
                <a:grpSpLocks/>
              </xdr:cNvGrpSpPr>
            </xdr:nvGrpSpPr>
            <xdr:grpSpPr bwMode="auto">
              <a:xfrm>
                <a:off x="597" y="1044"/>
                <a:ext cx="5" cy="11"/>
                <a:chOff x="719" y="713"/>
                <a:chExt cx="5" cy="10"/>
              </a:xfrm>
            </xdr:grpSpPr>
            <xdr:sp macro="" textlink="">
              <xdr:nvSpPr>
                <xdr:cNvPr id="12656" name="Rectangle 1348">
                  <a:extLst>
                    <a:ext uri="{FF2B5EF4-FFF2-40B4-BE49-F238E27FC236}">
                      <a16:creationId xmlns:a16="http://schemas.microsoft.com/office/drawing/2014/main" id="{00000000-0008-0000-1100-000070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657" name="Line 1349">
                  <a:extLst>
                    <a:ext uri="{FF2B5EF4-FFF2-40B4-BE49-F238E27FC236}">
                      <a16:creationId xmlns:a16="http://schemas.microsoft.com/office/drawing/2014/main" id="{00000000-0008-0000-1100-000071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658" name="Line 1350">
                  <a:extLst>
                    <a:ext uri="{FF2B5EF4-FFF2-40B4-BE49-F238E27FC236}">
                      <a16:creationId xmlns:a16="http://schemas.microsoft.com/office/drawing/2014/main" id="{00000000-0008-0000-1100-000072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655" name="Line 1359">
                <a:extLst>
                  <a:ext uri="{FF2B5EF4-FFF2-40B4-BE49-F238E27FC236}">
                    <a16:creationId xmlns:a16="http://schemas.microsoft.com/office/drawing/2014/main" id="{00000000-0008-0000-1100-00006F310000}"/>
                  </a:ext>
                </a:extLst>
              </xdr:cNvPr>
              <xdr:cNvSpPr>
                <a:spLocks noChangeShapeType="1"/>
              </xdr:cNvSpPr>
            </xdr:nvSpPr>
            <xdr:spPr bwMode="auto">
              <a:xfrm flipH="1" flipV="1">
                <a:off x="615" y="1113"/>
                <a:ext cx="1" cy="9"/>
              </a:xfrm>
              <a:prstGeom prst="line">
                <a:avLst/>
              </a:prstGeom>
              <a:noFill/>
              <a:ln w="19050">
                <a:solidFill>
                  <a:srgbClr val="0000FF"/>
                </a:solidFill>
                <a:round/>
                <a:headEnd/>
                <a:tailEnd/>
              </a:ln>
            </xdr:spPr>
          </xdr:sp>
        </xdr:grpSp>
        <xdr:sp macro="" textlink="">
          <xdr:nvSpPr>
            <xdr:cNvPr id="12568" name="AutoShape 1360">
              <a:extLst>
                <a:ext uri="{FF2B5EF4-FFF2-40B4-BE49-F238E27FC236}">
                  <a16:creationId xmlns:a16="http://schemas.microsoft.com/office/drawing/2014/main" id="{00000000-0008-0000-1100-000018310000}"/>
                </a:ext>
              </a:extLst>
            </xdr:cNvPr>
            <xdr:cNvSpPr>
              <a:spLocks noChangeArrowheads="1"/>
            </xdr:cNvSpPr>
          </xdr:nvSpPr>
          <xdr:spPr bwMode="auto">
            <a:xfrm flipH="1">
              <a:off x="6696705" y="9772659"/>
              <a:ext cx="372050" cy="74639"/>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569" name="AutoShape 1361">
              <a:extLst>
                <a:ext uri="{FF2B5EF4-FFF2-40B4-BE49-F238E27FC236}">
                  <a16:creationId xmlns:a16="http://schemas.microsoft.com/office/drawing/2014/main" id="{00000000-0008-0000-1100-000019310000}"/>
                </a:ext>
              </a:extLst>
            </xdr:cNvPr>
            <xdr:cNvSpPr>
              <a:spLocks noChangeArrowheads="1"/>
            </xdr:cNvSpPr>
          </xdr:nvSpPr>
          <xdr:spPr bwMode="auto">
            <a:xfrm rot="10800000" flipH="1">
              <a:off x="7211851" y="10817606"/>
              <a:ext cx="372050" cy="74639"/>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570" name="AutoShape 1362">
              <a:extLst>
                <a:ext uri="{FF2B5EF4-FFF2-40B4-BE49-F238E27FC236}">
                  <a16:creationId xmlns:a16="http://schemas.microsoft.com/office/drawing/2014/main" id="{00000000-0008-0000-1100-00001A310000}"/>
                </a:ext>
              </a:extLst>
            </xdr:cNvPr>
            <xdr:cNvSpPr>
              <a:spLocks noChangeArrowheads="1"/>
            </xdr:cNvSpPr>
          </xdr:nvSpPr>
          <xdr:spPr bwMode="auto">
            <a:xfrm>
              <a:off x="4378545" y="9847298"/>
              <a:ext cx="5046529" cy="960978"/>
            </a:xfrm>
            <a:prstGeom prst="roundRect">
              <a:avLst>
                <a:gd name="adj" fmla="val 4917"/>
              </a:avLst>
            </a:prstGeom>
            <a:noFill/>
            <a:ln w="19050">
              <a:solidFill>
                <a:srgbClr val="993366"/>
              </a:solidFill>
              <a:round/>
              <a:headEnd/>
              <a:tailEnd/>
            </a:ln>
          </xdr:spPr>
        </xdr:sp>
        <xdr:sp macro="" textlink="">
          <xdr:nvSpPr>
            <xdr:cNvPr id="12571" name="Line 1386">
              <a:extLst>
                <a:ext uri="{FF2B5EF4-FFF2-40B4-BE49-F238E27FC236}">
                  <a16:creationId xmlns:a16="http://schemas.microsoft.com/office/drawing/2014/main" id="{00000000-0008-0000-1100-00001B310000}"/>
                </a:ext>
              </a:extLst>
            </xdr:cNvPr>
            <xdr:cNvSpPr>
              <a:spLocks noChangeShapeType="1"/>
            </xdr:cNvSpPr>
          </xdr:nvSpPr>
          <xdr:spPr bwMode="auto">
            <a:xfrm>
              <a:off x="6887500" y="10798946"/>
              <a:ext cx="9540" cy="111959"/>
            </a:xfrm>
            <a:prstGeom prst="line">
              <a:avLst/>
            </a:prstGeom>
            <a:noFill/>
            <a:ln w="19050">
              <a:solidFill>
                <a:srgbClr val="0000FF"/>
              </a:solidFill>
              <a:prstDash val="sysDot"/>
              <a:round/>
              <a:headEnd/>
              <a:tailEnd/>
            </a:ln>
          </xdr:spPr>
        </xdr:sp>
        <xdr:grpSp>
          <xdr:nvGrpSpPr>
            <xdr:cNvPr id="19" name="Group 18">
              <a:extLst>
                <a:ext uri="{FF2B5EF4-FFF2-40B4-BE49-F238E27FC236}">
                  <a16:creationId xmlns:a16="http://schemas.microsoft.com/office/drawing/2014/main" id="{00000000-0008-0000-1100-000013000000}"/>
                </a:ext>
              </a:extLst>
            </xdr:cNvPr>
            <xdr:cNvGrpSpPr/>
          </xdr:nvGrpSpPr>
          <xdr:grpSpPr>
            <a:xfrm>
              <a:off x="7984571" y="10826936"/>
              <a:ext cx="314812" cy="83969"/>
              <a:chOff x="7984571" y="10826936"/>
              <a:chExt cx="314812" cy="83969"/>
            </a:xfrm>
          </xdr:grpSpPr>
          <xdr:sp macro="" textlink="">
            <xdr:nvSpPr>
              <xdr:cNvPr id="12566" name="Line 1358">
                <a:extLst>
                  <a:ext uri="{FF2B5EF4-FFF2-40B4-BE49-F238E27FC236}">
                    <a16:creationId xmlns:a16="http://schemas.microsoft.com/office/drawing/2014/main" id="{00000000-0008-0000-1100-000016310000}"/>
                  </a:ext>
                </a:extLst>
              </xdr:cNvPr>
              <xdr:cNvSpPr>
                <a:spLocks noChangeShapeType="1"/>
              </xdr:cNvSpPr>
            </xdr:nvSpPr>
            <xdr:spPr bwMode="auto">
              <a:xfrm>
                <a:off x="7984571" y="10826936"/>
                <a:ext cx="314812" cy="0"/>
              </a:xfrm>
              <a:prstGeom prst="line">
                <a:avLst/>
              </a:prstGeom>
              <a:noFill/>
              <a:ln w="19050">
                <a:solidFill>
                  <a:srgbClr val="0000FF"/>
                </a:solidFill>
                <a:round/>
                <a:headEnd/>
                <a:tailEnd/>
              </a:ln>
            </xdr:spPr>
          </xdr:sp>
          <xdr:sp macro="" textlink="">
            <xdr:nvSpPr>
              <xdr:cNvPr id="12572" name="Line 1387">
                <a:extLst>
                  <a:ext uri="{FF2B5EF4-FFF2-40B4-BE49-F238E27FC236}">
                    <a16:creationId xmlns:a16="http://schemas.microsoft.com/office/drawing/2014/main" id="{00000000-0008-0000-1100-00001C310000}"/>
                  </a:ext>
                </a:extLst>
              </xdr:cNvPr>
              <xdr:cNvSpPr>
                <a:spLocks noChangeShapeType="1"/>
              </xdr:cNvSpPr>
            </xdr:nvSpPr>
            <xdr:spPr bwMode="auto">
              <a:xfrm>
                <a:off x="8137207" y="10836266"/>
                <a:ext cx="0" cy="74639"/>
              </a:xfrm>
              <a:prstGeom prst="line">
                <a:avLst/>
              </a:prstGeom>
              <a:noFill/>
              <a:ln w="19050">
                <a:solidFill>
                  <a:srgbClr val="0000FF"/>
                </a:solidFill>
                <a:prstDash val="sysDot"/>
                <a:round/>
                <a:headEnd/>
                <a:tailEnd/>
              </a:ln>
            </xdr:spPr>
          </xdr:sp>
        </xdr:grpSp>
        <xdr:sp macro="" textlink="">
          <xdr:nvSpPr>
            <xdr:cNvPr id="12573" name="Line 1410">
              <a:extLst>
                <a:ext uri="{FF2B5EF4-FFF2-40B4-BE49-F238E27FC236}">
                  <a16:creationId xmlns:a16="http://schemas.microsoft.com/office/drawing/2014/main" id="{00000000-0008-0000-1100-00001D310000}"/>
                </a:ext>
              </a:extLst>
            </xdr:cNvPr>
            <xdr:cNvSpPr>
              <a:spLocks noChangeShapeType="1"/>
            </xdr:cNvSpPr>
          </xdr:nvSpPr>
          <xdr:spPr bwMode="auto">
            <a:xfrm rot="16200000">
              <a:off x="9255352" y="10369771"/>
              <a:ext cx="177268" cy="0"/>
            </a:xfrm>
            <a:prstGeom prst="line">
              <a:avLst/>
            </a:prstGeom>
            <a:noFill/>
            <a:ln w="9525">
              <a:solidFill>
                <a:srgbClr val="000000"/>
              </a:solidFill>
              <a:prstDash val="sysDot"/>
              <a:round/>
              <a:headEnd/>
              <a:tailEnd/>
            </a:ln>
          </xdr:spPr>
        </xdr:sp>
        <xdr:grpSp>
          <xdr:nvGrpSpPr>
            <xdr:cNvPr id="12574" name="Group 1420">
              <a:extLst>
                <a:ext uri="{FF2B5EF4-FFF2-40B4-BE49-F238E27FC236}">
                  <a16:creationId xmlns:a16="http://schemas.microsoft.com/office/drawing/2014/main" id="{00000000-0008-0000-1100-00001E310000}"/>
                </a:ext>
              </a:extLst>
            </xdr:cNvPr>
            <xdr:cNvGrpSpPr>
              <a:grpSpLocks/>
            </xdr:cNvGrpSpPr>
          </xdr:nvGrpSpPr>
          <xdr:grpSpPr bwMode="auto">
            <a:xfrm>
              <a:off x="4473943" y="10882915"/>
              <a:ext cx="391130" cy="279897"/>
              <a:chOff x="595" y="629"/>
              <a:chExt cx="59" cy="30"/>
            </a:xfrm>
          </xdr:grpSpPr>
          <xdr:sp macro="" textlink="">
            <xdr:nvSpPr>
              <xdr:cNvPr id="12646" name="Rectangle 1421" descr="Wide downward diagonal">
                <a:extLst>
                  <a:ext uri="{FF2B5EF4-FFF2-40B4-BE49-F238E27FC236}">
                    <a16:creationId xmlns:a16="http://schemas.microsoft.com/office/drawing/2014/main" id="{00000000-0008-0000-1100-000066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647" name="Rectangle 1422">
                <a:extLst>
                  <a:ext uri="{FF2B5EF4-FFF2-40B4-BE49-F238E27FC236}">
                    <a16:creationId xmlns:a16="http://schemas.microsoft.com/office/drawing/2014/main" id="{00000000-0008-0000-1100-000067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575" name="AutoShape 1423">
              <a:extLst>
                <a:ext uri="{FF2B5EF4-FFF2-40B4-BE49-F238E27FC236}">
                  <a16:creationId xmlns:a16="http://schemas.microsoft.com/office/drawing/2014/main" id="{00000000-0008-0000-1100-00001F310000}"/>
                </a:ext>
              </a:extLst>
            </xdr:cNvPr>
            <xdr:cNvSpPr>
              <a:spLocks noChangeArrowheads="1"/>
            </xdr:cNvSpPr>
          </xdr:nvSpPr>
          <xdr:spPr bwMode="auto">
            <a:xfrm rot="5514549" flipH="1" flipV="1">
              <a:off x="4637587" y="9724435"/>
              <a:ext cx="130618" cy="14309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343 w 21600"/>
                <a:gd name="T13" fmla="*/ 2880 h 21600"/>
                <a:gd name="T14" fmla="*/ 18514 w 21600"/>
                <a:gd name="T15" fmla="*/ 8640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576" name="AutoShape 1439">
              <a:extLst>
                <a:ext uri="{FF2B5EF4-FFF2-40B4-BE49-F238E27FC236}">
                  <a16:creationId xmlns:a16="http://schemas.microsoft.com/office/drawing/2014/main" id="{00000000-0008-0000-1100-000020310000}"/>
                </a:ext>
              </a:extLst>
            </xdr:cNvPr>
            <xdr:cNvSpPr>
              <a:spLocks noChangeArrowheads="1"/>
            </xdr:cNvSpPr>
          </xdr:nvSpPr>
          <xdr:spPr bwMode="auto">
            <a:xfrm rot="10800000" flipH="1" flipV="1">
              <a:off x="4664738" y="10892245"/>
              <a:ext cx="133557" cy="13994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343 w 21600"/>
                <a:gd name="T13" fmla="*/ 2880 h 21600"/>
                <a:gd name="T14" fmla="*/ 18514 w 21600"/>
                <a:gd name="T15" fmla="*/ 8640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577" name="AutoShape 1440">
              <a:extLst>
                <a:ext uri="{FF2B5EF4-FFF2-40B4-BE49-F238E27FC236}">
                  <a16:creationId xmlns:a16="http://schemas.microsoft.com/office/drawing/2014/main" id="{00000000-0008-0000-1100-000021310000}"/>
                </a:ext>
              </a:extLst>
            </xdr:cNvPr>
            <xdr:cNvSpPr>
              <a:spLocks noChangeArrowheads="1"/>
            </xdr:cNvSpPr>
          </xdr:nvSpPr>
          <xdr:spPr bwMode="auto">
            <a:xfrm rot="10800000" flipV="1">
              <a:off x="9358295" y="9772659"/>
              <a:ext cx="133557" cy="13994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343 w 21600"/>
                <a:gd name="T13" fmla="*/ 2880 h 21600"/>
                <a:gd name="T14" fmla="*/ 18514 w 21600"/>
                <a:gd name="T15" fmla="*/ 8640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578" name="AutoShape 1456">
              <a:extLst>
                <a:ext uri="{FF2B5EF4-FFF2-40B4-BE49-F238E27FC236}">
                  <a16:creationId xmlns:a16="http://schemas.microsoft.com/office/drawing/2014/main" id="{00000000-0008-0000-1100-000022310000}"/>
                </a:ext>
              </a:extLst>
            </xdr:cNvPr>
            <xdr:cNvSpPr>
              <a:spLocks noChangeArrowheads="1"/>
            </xdr:cNvSpPr>
          </xdr:nvSpPr>
          <xdr:spPr bwMode="auto">
            <a:xfrm>
              <a:off x="8146747" y="9847298"/>
              <a:ext cx="1230628" cy="942319"/>
            </a:xfrm>
            <a:prstGeom prst="roundRect">
              <a:avLst>
                <a:gd name="adj" fmla="val 6778"/>
              </a:avLst>
            </a:prstGeom>
            <a:solidFill>
              <a:srgbClr val="C0C0C0"/>
            </a:solidFill>
            <a:ln w="9525">
              <a:solidFill>
                <a:srgbClr val="000000"/>
              </a:solidFill>
              <a:round/>
              <a:headEnd/>
              <a:tailEnd/>
            </a:ln>
          </xdr:spPr>
        </xdr:sp>
        <xdr:grpSp>
          <xdr:nvGrpSpPr>
            <xdr:cNvPr id="12579" name="Group 1468">
              <a:extLst>
                <a:ext uri="{FF2B5EF4-FFF2-40B4-BE49-F238E27FC236}">
                  <a16:creationId xmlns:a16="http://schemas.microsoft.com/office/drawing/2014/main" id="{00000000-0008-0000-1100-000023310000}"/>
                </a:ext>
              </a:extLst>
            </xdr:cNvPr>
            <xdr:cNvGrpSpPr>
              <a:grpSpLocks/>
            </xdr:cNvGrpSpPr>
          </xdr:nvGrpSpPr>
          <xdr:grpSpPr bwMode="auto">
            <a:xfrm>
              <a:off x="6906579" y="9847298"/>
              <a:ext cx="1516821" cy="942319"/>
              <a:chOff x="620" y="1011"/>
              <a:chExt cx="159" cy="101"/>
            </a:xfrm>
          </xdr:grpSpPr>
          <xdr:sp macro="" textlink="">
            <xdr:nvSpPr>
              <xdr:cNvPr id="12634" name="AutoShape 1469">
                <a:extLst>
                  <a:ext uri="{FF2B5EF4-FFF2-40B4-BE49-F238E27FC236}">
                    <a16:creationId xmlns:a16="http://schemas.microsoft.com/office/drawing/2014/main" id="{00000000-0008-0000-1100-00005A310000}"/>
                  </a:ext>
                </a:extLst>
              </xdr:cNvPr>
              <xdr:cNvSpPr>
                <a:spLocks noChangeArrowheads="1"/>
              </xdr:cNvSpPr>
            </xdr:nvSpPr>
            <xdr:spPr bwMode="auto">
              <a:xfrm>
                <a:off x="620" y="1011"/>
                <a:ext cx="129" cy="101"/>
              </a:xfrm>
              <a:prstGeom prst="roundRect">
                <a:avLst>
                  <a:gd name="adj" fmla="val 6778"/>
                </a:avLst>
              </a:prstGeom>
              <a:solidFill>
                <a:srgbClr val="C0C0C0"/>
              </a:solidFill>
              <a:ln w="9525">
                <a:solidFill>
                  <a:srgbClr val="000000"/>
                </a:solidFill>
                <a:round/>
                <a:headEnd/>
                <a:tailEnd/>
              </a:ln>
            </xdr:spPr>
          </xdr:sp>
          <xdr:grpSp>
            <xdr:nvGrpSpPr>
              <xdr:cNvPr id="12635" name="Group 1470">
                <a:extLst>
                  <a:ext uri="{FF2B5EF4-FFF2-40B4-BE49-F238E27FC236}">
                    <a16:creationId xmlns:a16="http://schemas.microsoft.com/office/drawing/2014/main" id="{00000000-0008-0000-1100-00005B310000}"/>
                  </a:ext>
                </a:extLst>
              </xdr:cNvPr>
              <xdr:cNvGrpSpPr>
                <a:grpSpLocks/>
              </xdr:cNvGrpSpPr>
            </xdr:nvGrpSpPr>
            <xdr:grpSpPr bwMode="auto">
              <a:xfrm>
                <a:off x="719" y="1019"/>
                <a:ext cx="60" cy="28"/>
                <a:chOff x="692" y="685"/>
                <a:chExt cx="60" cy="28"/>
              </a:xfrm>
            </xdr:grpSpPr>
            <xdr:grpSp>
              <xdr:nvGrpSpPr>
                <xdr:cNvPr id="12636" name="Group 1471">
                  <a:extLst>
                    <a:ext uri="{FF2B5EF4-FFF2-40B4-BE49-F238E27FC236}">
                      <a16:creationId xmlns:a16="http://schemas.microsoft.com/office/drawing/2014/main" id="{00000000-0008-0000-1100-00005C310000}"/>
                    </a:ext>
                  </a:extLst>
                </xdr:cNvPr>
                <xdr:cNvGrpSpPr>
                  <a:grpSpLocks/>
                </xdr:cNvGrpSpPr>
              </xdr:nvGrpSpPr>
              <xdr:grpSpPr bwMode="auto">
                <a:xfrm>
                  <a:off x="692" y="685"/>
                  <a:ext cx="60" cy="28"/>
                  <a:chOff x="692" y="685"/>
                  <a:chExt cx="60" cy="28"/>
                </a:xfrm>
              </xdr:grpSpPr>
              <xdr:sp macro="" textlink="">
                <xdr:nvSpPr>
                  <xdr:cNvPr id="12641" name="Oval 1472">
                    <a:extLst>
                      <a:ext uri="{FF2B5EF4-FFF2-40B4-BE49-F238E27FC236}">
                        <a16:creationId xmlns:a16="http://schemas.microsoft.com/office/drawing/2014/main" id="{00000000-0008-0000-1100-000061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42" name="Oval 1473">
                    <a:extLst>
                      <a:ext uri="{FF2B5EF4-FFF2-40B4-BE49-F238E27FC236}">
                        <a16:creationId xmlns:a16="http://schemas.microsoft.com/office/drawing/2014/main" id="{00000000-0008-0000-1100-000062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43" name="Rectangle 1474">
                    <a:extLst>
                      <a:ext uri="{FF2B5EF4-FFF2-40B4-BE49-F238E27FC236}">
                        <a16:creationId xmlns:a16="http://schemas.microsoft.com/office/drawing/2014/main" id="{00000000-0008-0000-1100-000063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44" name="Line 1475">
                    <a:extLst>
                      <a:ext uri="{FF2B5EF4-FFF2-40B4-BE49-F238E27FC236}">
                        <a16:creationId xmlns:a16="http://schemas.microsoft.com/office/drawing/2014/main" id="{00000000-0008-0000-1100-000064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45" name="Line 1476">
                    <a:extLst>
                      <a:ext uri="{FF2B5EF4-FFF2-40B4-BE49-F238E27FC236}">
                        <a16:creationId xmlns:a16="http://schemas.microsoft.com/office/drawing/2014/main" id="{00000000-0008-0000-1100-000065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637" name="AutoShape 1477">
                  <a:extLst>
                    <a:ext uri="{FF2B5EF4-FFF2-40B4-BE49-F238E27FC236}">
                      <a16:creationId xmlns:a16="http://schemas.microsoft.com/office/drawing/2014/main" id="{00000000-0008-0000-1100-00005D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38" name="Oval 1478">
                  <a:extLst>
                    <a:ext uri="{FF2B5EF4-FFF2-40B4-BE49-F238E27FC236}">
                      <a16:creationId xmlns:a16="http://schemas.microsoft.com/office/drawing/2014/main" id="{00000000-0008-0000-1100-00005E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639" name="AutoShape 1479">
                  <a:extLst>
                    <a:ext uri="{FF2B5EF4-FFF2-40B4-BE49-F238E27FC236}">
                      <a16:creationId xmlns:a16="http://schemas.microsoft.com/office/drawing/2014/main" id="{00000000-0008-0000-1100-00005F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40" name="Oval 1480">
                  <a:extLst>
                    <a:ext uri="{FF2B5EF4-FFF2-40B4-BE49-F238E27FC236}">
                      <a16:creationId xmlns:a16="http://schemas.microsoft.com/office/drawing/2014/main" id="{00000000-0008-0000-1100-000060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grpSp>
        <xdr:grpSp>
          <xdr:nvGrpSpPr>
            <xdr:cNvPr id="12580" name="Group 1442">
              <a:extLst>
                <a:ext uri="{FF2B5EF4-FFF2-40B4-BE49-F238E27FC236}">
                  <a16:creationId xmlns:a16="http://schemas.microsoft.com/office/drawing/2014/main" id="{00000000-0008-0000-1100-000024310000}"/>
                </a:ext>
              </a:extLst>
            </xdr:cNvPr>
            <xdr:cNvGrpSpPr>
              <a:grpSpLocks/>
            </xdr:cNvGrpSpPr>
          </xdr:nvGrpSpPr>
          <xdr:grpSpPr bwMode="auto">
            <a:xfrm>
              <a:off x="5666412" y="9856628"/>
              <a:ext cx="1516821" cy="942319"/>
              <a:chOff x="620" y="1011"/>
              <a:chExt cx="159" cy="101"/>
            </a:xfrm>
          </xdr:grpSpPr>
          <xdr:sp macro="" textlink="">
            <xdr:nvSpPr>
              <xdr:cNvPr id="12622" name="AutoShape 1443">
                <a:extLst>
                  <a:ext uri="{FF2B5EF4-FFF2-40B4-BE49-F238E27FC236}">
                    <a16:creationId xmlns:a16="http://schemas.microsoft.com/office/drawing/2014/main" id="{00000000-0008-0000-1100-00004E310000}"/>
                  </a:ext>
                </a:extLst>
              </xdr:cNvPr>
              <xdr:cNvSpPr>
                <a:spLocks noChangeArrowheads="1"/>
              </xdr:cNvSpPr>
            </xdr:nvSpPr>
            <xdr:spPr bwMode="auto">
              <a:xfrm>
                <a:off x="620" y="1011"/>
                <a:ext cx="129" cy="101"/>
              </a:xfrm>
              <a:prstGeom prst="roundRect">
                <a:avLst>
                  <a:gd name="adj" fmla="val 6778"/>
                </a:avLst>
              </a:prstGeom>
              <a:solidFill>
                <a:srgbClr val="C0C0C0"/>
              </a:solidFill>
              <a:ln w="9525">
                <a:solidFill>
                  <a:srgbClr val="000000"/>
                </a:solidFill>
                <a:round/>
                <a:headEnd/>
                <a:tailEnd/>
              </a:ln>
            </xdr:spPr>
          </xdr:sp>
          <xdr:grpSp>
            <xdr:nvGrpSpPr>
              <xdr:cNvPr id="12623" name="Group 1444">
                <a:extLst>
                  <a:ext uri="{FF2B5EF4-FFF2-40B4-BE49-F238E27FC236}">
                    <a16:creationId xmlns:a16="http://schemas.microsoft.com/office/drawing/2014/main" id="{00000000-0008-0000-1100-00004F310000}"/>
                  </a:ext>
                </a:extLst>
              </xdr:cNvPr>
              <xdr:cNvGrpSpPr>
                <a:grpSpLocks/>
              </xdr:cNvGrpSpPr>
            </xdr:nvGrpSpPr>
            <xdr:grpSpPr bwMode="auto">
              <a:xfrm>
                <a:off x="719" y="1019"/>
                <a:ext cx="60" cy="28"/>
                <a:chOff x="692" y="685"/>
                <a:chExt cx="60" cy="28"/>
              </a:xfrm>
            </xdr:grpSpPr>
            <xdr:grpSp>
              <xdr:nvGrpSpPr>
                <xdr:cNvPr id="12624" name="Group 1445">
                  <a:extLst>
                    <a:ext uri="{FF2B5EF4-FFF2-40B4-BE49-F238E27FC236}">
                      <a16:creationId xmlns:a16="http://schemas.microsoft.com/office/drawing/2014/main" id="{00000000-0008-0000-1100-000050310000}"/>
                    </a:ext>
                  </a:extLst>
                </xdr:cNvPr>
                <xdr:cNvGrpSpPr>
                  <a:grpSpLocks/>
                </xdr:cNvGrpSpPr>
              </xdr:nvGrpSpPr>
              <xdr:grpSpPr bwMode="auto">
                <a:xfrm>
                  <a:off x="692" y="685"/>
                  <a:ext cx="60" cy="28"/>
                  <a:chOff x="692" y="685"/>
                  <a:chExt cx="60" cy="28"/>
                </a:xfrm>
              </xdr:grpSpPr>
              <xdr:sp macro="" textlink="">
                <xdr:nvSpPr>
                  <xdr:cNvPr id="12629" name="Oval 1446">
                    <a:extLst>
                      <a:ext uri="{FF2B5EF4-FFF2-40B4-BE49-F238E27FC236}">
                        <a16:creationId xmlns:a16="http://schemas.microsoft.com/office/drawing/2014/main" id="{00000000-0008-0000-1100-000055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30" name="Oval 1447">
                    <a:extLst>
                      <a:ext uri="{FF2B5EF4-FFF2-40B4-BE49-F238E27FC236}">
                        <a16:creationId xmlns:a16="http://schemas.microsoft.com/office/drawing/2014/main" id="{00000000-0008-0000-1100-000056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31" name="Rectangle 1448">
                    <a:extLst>
                      <a:ext uri="{FF2B5EF4-FFF2-40B4-BE49-F238E27FC236}">
                        <a16:creationId xmlns:a16="http://schemas.microsoft.com/office/drawing/2014/main" id="{00000000-0008-0000-1100-000057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32" name="Line 1449">
                    <a:extLst>
                      <a:ext uri="{FF2B5EF4-FFF2-40B4-BE49-F238E27FC236}">
                        <a16:creationId xmlns:a16="http://schemas.microsoft.com/office/drawing/2014/main" id="{00000000-0008-0000-1100-000058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33" name="Line 1450">
                    <a:extLst>
                      <a:ext uri="{FF2B5EF4-FFF2-40B4-BE49-F238E27FC236}">
                        <a16:creationId xmlns:a16="http://schemas.microsoft.com/office/drawing/2014/main" id="{00000000-0008-0000-1100-000059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625" name="AutoShape 1451">
                  <a:extLst>
                    <a:ext uri="{FF2B5EF4-FFF2-40B4-BE49-F238E27FC236}">
                      <a16:creationId xmlns:a16="http://schemas.microsoft.com/office/drawing/2014/main" id="{00000000-0008-0000-1100-000051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26" name="Oval 1452">
                  <a:extLst>
                    <a:ext uri="{FF2B5EF4-FFF2-40B4-BE49-F238E27FC236}">
                      <a16:creationId xmlns:a16="http://schemas.microsoft.com/office/drawing/2014/main" id="{00000000-0008-0000-1100-000052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627" name="AutoShape 1453">
                  <a:extLst>
                    <a:ext uri="{FF2B5EF4-FFF2-40B4-BE49-F238E27FC236}">
                      <a16:creationId xmlns:a16="http://schemas.microsoft.com/office/drawing/2014/main" id="{00000000-0008-0000-1100-000053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28" name="Oval 1454">
                  <a:extLst>
                    <a:ext uri="{FF2B5EF4-FFF2-40B4-BE49-F238E27FC236}">
                      <a16:creationId xmlns:a16="http://schemas.microsoft.com/office/drawing/2014/main" id="{00000000-0008-0000-1100-000054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grpSp>
        <xdr:sp macro="" textlink="">
          <xdr:nvSpPr>
            <xdr:cNvPr id="12581" name="AutoShape 1328">
              <a:extLst>
                <a:ext uri="{FF2B5EF4-FFF2-40B4-BE49-F238E27FC236}">
                  <a16:creationId xmlns:a16="http://schemas.microsoft.com/office/drawing/2014/main" id="{00000000-0008-0000-1100-000025310000}"/>
                </a:ext>
              </a:extLst>
            </xdr:cNvPr>
            <xdr:cNvSpPr>
              <a:spLocks noChangeArrowheads="1"/>
            </xdr:cNvSpPr>
          </xdr:nvSpPr>
          <xdr:spPr bwMode="auto">
            <a:xfrm>
              <a:off x="4426244" y="9856628"/>
              <a:ext cx="1230628" cy="942319"/>
            </a:xfrm>
            <a:prstGeom prst="roundRect">
              <a:avLst>
                <a:gd name="adj" fmla="val 6778"/>
              </a:avLst>
            </a:prstGeom>
            <a:solidFill>
              <a:srgbClr val="C0C0C0"/>
            </a:solidFill>
            <a:ln w="9525">
              <a:solidFill>
                <a:srgbClr val="000000"/>
              </a:solidFill>
              <a:round/>
              <a:headEnd/>
              <a:tailEnd/>
            </a:ln>
          </xdr:spPr>
        </xdr:sp>
        <xdr:grpSp>
          <xdr:nvGrpSpPr>
            <xdr:cNvPr id="12582" name="Group 1364">
              <a:extLst>
                <a:ext uri="{FF2B5EF4-FFF2-40B4-BE49-F238E27FC236}">
                  <a16:creationId xmlns:a16="http://schemas.microsoft.com/office/drawing/2014/main" id="{00000000-0008-0000-1100-000026310000}"/>
                </a:ext>
              </a:extLst>
            </xdr:cNvPr>
            <xdr:cNvGrpSpPr>
              <a:grpSpLocks/>
            </xdr:cNvGrpSpPr>
          </xdr:nvGrpSpPr>
          <xdr:grpSpPr bwMode="auto">
            <a:xfrm>
              <a:off x="5370679" y="9931267"/>
              <a:ext cx="572385" cy="261237"/>
              <a:chOff x="692" y="685"/>
              <a:chExt cx="60" cy="28"/>
            </a:xfrm>
          </xdr:grpSpPr>
          <xdr:sp macro="" textlink="">
            <xdr:nvSpPr>
              <xdr:cNvPr id="12617" name="Oval 1365">
                <a:extLst>
                  <a:ext uri="{FF2B5EF4-FFF2-40B4-BE49-F238E27FC236}">
                    <a16:creationId xmlns:a16="http://schemas.microsoft.com/office/drawing/2014/main" id="{00000000-0008-0000-1100-000049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18" name="Oval 1366">
                <a:extLst>
                  <a:ext uri="{FF2B5EF4-FFF2-40B4-BE49-F238E27FC236}">
                    <a16:creationId xmlns:a16="http://schemas.microsoft.com/office/drawing/2014/main" id="{00000000-0008-0000-1100-00004A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19" name="Rectangle 1367">
                <a:extLst>
                  <a:ext uri="{FF2B5EF4-FFF2-40B4-BE49-F238E27FC236}">
                    <a16:creationId xmlns:a16="http://schemas.microsoft.com/office/drawing/2014/main" id="{00000000-0008-0000-1100-00004B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20" name="Line 1368">
                <a:extLst>
                  <a:ext uri="{FF2B5EF4-FFF2-40B4-BE49-F238E27FC236}">
                    <a16:creationId xmlns:a16="http://schemas.microsoft.com/office/drawing/2014/main" id="{00000000-0008-0000-1100-00004C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21" name="Line 1369">
                <a:extLst>
                  <a:ext uri="{FF2B5EF4-FFF2-40B4-BE49-F238E27FC236}">
                    <a16:creationId xmlns:a16="http://schemas.microsoft.com/office/drawing/2014/main" id="{00000000-0008-0000-1100-00004D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583" name="AutoShape 1370">
              <a:extLst>
                <a:ext uri="{FF2B5EF4-FFF2-40B4-BE49-F238E27FC236}">
                  <a16:creationId xmlns:a16="http://schemas.microsoft.com/office/drawing/2014/main" id="{00000000-0008-0000-1100-000027310000}"/>
                </a:ext>
              </a:extLst>
            </xdr:cNvPr>
            <xdr:cNvSpPr>
              <a:spLocks noChangeArrowheads="1"/>
            </xdr:cNvSpPr>
          </xdr:nvSpPr>
          <xdr:spPr bwMode="auto">
            <a:xfrm>
              <a:off x="5399299" y="9977916"/>
              <a:ext cx="209875" cy="16793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584" name="Oval 1371">
              <a:extLst>
                <a:ext uri="{FF2B5EF4-FFF2-40B4-BE49-F238E27FC236}">
                  <a16:creationId xmlns:a16="http://schemas.microsoft.com/office/drawing/2014/main" id="{00000000-0008-0000-1100-000028310000}"/>
                </a:ext>
              </a:extLst>
            </xdr:cNvPr>
            <xdr:cNvSpPr>
              <a:spLocks noChangeArrowheads="1"/>
            </xdr:cNvSpPr>
          </xdr:nvSpPr>
          <xdr:spPr bwMode="auto">
            <a:xfrm>
              <a:off x="5446997" y="10005906"/>
              <a:ext cx="114477" cy="111959"/>
            </a:xfrm>
            <a:prstGeom prst="ellipse">
              <a:avLst/>
            </a:prstGeom>
            <a:solidFill>
              <a:srgbClr val="FF9933"/>
            </a:solidFill>
            <a:ln w="9525">
              <a:solidFill>
                <a:srgbClr val="000000"/>
              </a:solidFill>
              <a:round/>
              <a:headEnd/>
              <a:tailEnd/>
            </a:ln>
          </xdr:spPr>
        </xdr:sp>
        <xdr:sp macro="" textlink="">
          <xdr:nvSpPr>
            <xdr:cNvPr id="12585" name="AutoShape 1372">
              <a:extLst>
                <a:ext uri="{FF2B5EF4-FFF2-40B4-BE49-F238E27FC236}">
                  <a16:creationId xmlns:a16="http://schemas.microsoft.com/office/drawing/2014/main" id="{00000000-0008-0000-1100-000029310000}"/>
                </a:ext>
              </a:extLst>
            </xdr:cNvPr>
            <xdr:cNvSpPr>
              <a:spLocks noChangeArrowheads="1"/>
            </xdr:cNvSpPr>
          </xdr:nvSpPr>
          <xdr:spPr bwMode="auto">
            <a:xfrm>
              <a:off x="5704571" y="9977916"/>
              <a:ext cx="209875" cy="16793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586" name="Oval 1373">
              <a:extLst>
                <a:ext uri="{FF2B5EF4-FFF2-40B4-BE49-F238E27FC236}">
                  <a16:creationId xmlns:a16="http://schemas.microsoft.com/office/drawing/2014/main" id="{00000000-0008-0000-1100-00002A310000}"/>
                </a:ext>
              </a:extLst>
            </xdr:cNvPr>
            <xdr:cNvSpPr>
              <a:spLocks noChangeArrowheads="1"/>
            </xdr:cNvSpPr>
          </xdr:nvSpPr>
          <xdr:spPr bwMode="auto">
            <a:xfrm>
              <a:off x="5752269" y="10005906"/>
              <a:ext cx="114477" cy="111959"/>
            </a:xfrm>
            <a:prstGeom prst="ellipse">
              <a:avLst/>
            </a:prstGeom>
            <a:solidFill>
              <a:srgbClr val="FF9933"/>
            </a:solidFill>
            <a:ln w="9525">
              <a:solidFill>
                <a:srgbClr val="000000"/>
              </a:solidFill>
              <a:round/>
              <a:headEnd/>
              <a:tailEnd/>
            </a:ln>
          </xdr:spPr>
        </xdr:sp>
        <xdr:sp macro="" textlink="">
          <xdr:nvSpPr>
            <xdr:cNvPr id="12587" name="Oval 1483">
              <a:extLst>
                <a:ext uri="{FF2B5EF4-FFF2-40B4-BE49-F238E27FC236}">
                  <a16:creationId xmlns:a16="http://schemas.microsoft.com/office/drawing/2014/main" id="{00000000-0008-0000-1100-00002B310000}"/>
                </a:ext>
              </a:extLst>
            </xdr:cNvPr>
            <xdr:cNvSpPr>
              <a:spLocks noChangeArrowheads="1"/>
            </xdr:cNvSpPr>
          </xdr:nvSpPr>
          <xdr:spPr bwMode="auto">
            <a:xfrm>
              <a:off x="9081643" y="10388431"/>
              <a:ext cx="267113" cy="261237"/>
            </a:xfrm>
            <a:prstGeom prst="ellipse">
              <a:avLst/>
            </a:prstGeom>
            <a:solidFill>
              <a:srgbClr val="FF9933"/>
            </a:solidFill>
            <a:ln w="9525">
              <a:solidFill>
                <a:srgbClr val="000000"/>
              </a:solidFill>
              <a:round/>
              <a:headEnd/>
              <a:tailEnd/>
            </a:ln>
          </xdr:spPr>
        </xdr:sp>
        <xdr:sp macro="" textlink="">
          <xdr:nvSpPr>
            <xdr:cNvPr id="12588" name="Rectangle 1484">
              <a:extLst>
                <a:ext uri="{FF2B5EF4-FFF2-40B4-BE49-F238E27FC236}">
                  <a16:creationId xmlns:a16="http://schemas.microsoft.com/office/drawing/2014/main" id="{00000000-0008-0000-1100-00002C310000}"/>
                </a:ext>
              </a:extLst>
            </xdr:cNvPr>
            <xdr:cNvSpPr>
              <a:spLocks noChangeArrowheads="1"/>
            </xdr:cNvSpPr>
          </xdr:nvSpPr>
          <xdr:spPr bwMode="auto">
            <a:xfrm>
              <a:off x="4569340" y="10388431"/>
              <a:ext cx="4645859" cy="261237"/>
            </a:xfrm>
            <a:prstGeom prst="rect">
              <a:avLst/>
            </a:prstGeom>
            <a:solidFill>
              <a:srgbClr val="FF9933"/>
            </a:solidFill>
            <a:ln w="9525">
              <a:noFill/>
              <a:miter lim="800000"/>
              <a:headEnd/>
              <a:tailEnd/>
            </a:ln>
          </xdr:spPr>
        </xdr:sp>
        <xdr:sp macro="" textlink="">
          <xdr:nvSpPr>
            <xdr:cNvPr id="12590" name="Line 1486">
              <a:extLst>
                <a:ext uri="{FF2B5EF4-FFF2-40B4-BE49-F238E27FC236}">
                  <a16:creationId xmlns:a16="http://schemas.microsoft.com/office/drawing/2014/main" id="{00000000-0008-0000-1100-00002E310000}"/>
                </a:ext>
              </a:extLst>
            </xdr:cNvPr>
            <xdr:cNvSpPr>
              <a:spLocks noChangeShapeType="1"/>
            </xdr:cNvSpPr>
          </xdr:nvSpPr>
          <xdr:spPr bwMode="auto">
            <a:xfrm>
              <a:off x="4569340" y="10649668"/>
              <a:ext cx="4636319" cy="0"/>
            </a:xfrm>
            <a:prstGeom prst="line">
              <a:avLst/>
            </a:prstGeom>
            <a:noFill/>
            <a:ln w="9525">
              <a:solidFill>
                <a:srgbClr val="000000"/>
              </a:solidFill>
              <a:round/>
              <a:headEnd/>
              <a:tailEnd/>
            </a:ln>
          </xdr:spPr>
        </xdr:sp>
        <xdr:grpSp>
          <xdr:nvGrpSpPr>
            <xdr:cNvPr id="12591" name="Group 1424">
              <a:extLst>
                <a:ext uri="{FF2B5EF4-FFF2-40B4-BE49-F238E27FC236}">
                  <a16:creationId xmlns:a16="http://schemas.microsoft.com/office/drawing/2014/main" id="{00000000-0008-0000-1100-00002F310000}"/>
                </a:ext>
              </a:extLst>
            </xdr:cNvPr>
            <xdr:cNvGrpSpPr>
              <a:grpSpLocks/>
            </xdr:cNvGrpSpPr>
          </xdr:nvGrpSpPr>
          <xdr:grpSpPr bwMode="auto">
            <a:xfrm>
              <a:off x="4120972" y="9931267"/>
              <a:ext cx="581925" cy="261237"/>
              <a:chOff x="561" y="685"/>
              <a:chExt cx="61" cy="28"/>
            </a:xfrm>
          </xdr:grpSpPr>
          <xdr:sp macro="" textlink="">
            <xdr:nvSpPr>
              <xdr:cNvPr id="12611" name="Rectangle 1425">
                <a:extLst>
                  <a:ext uri="{FF2B5EF4-FFF2-40B4-BE49-F238E27FC236}">
                    <a16:creationId xmlns:a16="http://schemas.microsoft.com/office/drawing/2014/main" id="{00000000-0008-0000-1100-000043310000}"/>
                  </a:ext>
                </a:extLst>
              </xdr:cNvPr>
              <xdr:cNvSpPr>
                <a:spLocks noChangeArrowheads="1"/>
              </xdr:cNvSpPr>
            </xdr:nvSpPr>
            <xdr:spPr bwMode="auto">
              <a:xfrm>
                <a:off x="569" y="686"/>
                <a:ext cx="20" cy="23"/>
              </a:xfrm>
              <a:prstGeom prst="rect">
                <a:avLst/>
              </a:prstGeom>
              <a:solidFill>
                <a:srgbClr val="FFFF99"/>
              </a:solidFill>
              <a:ln w="9525">
                <a:solidFill>
                  <a:srgbClr val="000000"/>
                </a:solidFill>
                <a:miter lim="800000"/>
                <a:headEnd/>
                <a:tailEnd/>
              </a:ln>
            </xdr:spPr>
          </xdr:sp>
          <xdr:sp macro="" textlink="">
            <xdr:nvSpPr>
              <xdr:cNvPr id="12612" name="Rectangle 1426">
                <a:extLst>
                  <a:ext uri="{FF2B5EF4-FFF2-40B4-BE49-F238E27FC236}">
                    <a16:creationId xmlns:a16="http://schemas.microsoft.com/office/drawing/2014/main" id="{00000000-0008-0000-1100-000044310000}"/>
                  </a:ext>
                </a:extLst>
              </xdr:cNvPr>
              <xdr:cNvSpPr>
                <a:spLocks noChangeArrowheads="1"/>
              </xdr:cNvSpPr>
            </xdr:nvSpPr>
            <xdr:spPr bwMode="auto">
              <a:xfrm>
                <a:off x="561" y="690"/>
                <a:ext cx="39" cy="15"/>
              </a:xfrm>
              <a:prstGeom prst="rect">
                <a:avLst/>
              </a:prstGeom>
              <a:solidFill>
                <a:srgbClr val="FF9933"/>
              </a:solidFill>
              <a:ln w="9525">
                <a:solidFill>
                  <a:srgbClr val="000000"/>
                </a:solidFill>
                <a:miter lim="800000"/>
                <a:headEnd/>
                <a:tailEnd/>
              </a:ln>
            </xdr:spPr>
          </xdr:sp>
          <xdr:sp macro="" textlink="">
            <xdr:nvSpPr>
              <xdr:cNvPr id="12613" name="Oval 1427">
                <a:extLst>
                  <a:ext uri="{FF2B5EF4-FFF2-40B4-BE49-F238E27FC236}">
                    <a16:creationId xmlns:a16="http://schemas.microsoft.com/office/drawing/2014/main" id="{00000000-0008-0000-1100-000045310000}"/>
                  </a:ext>
                </a:extLst>
              </xdr:cNvPr>
              <xdr:cNvSpPr>
                <a:spLocks noChangeArrowheads="1"/>
              </xdr:cNvSpPr>
            </xdr:nvSpPr>
            <xdr:spPr bwMode="auto">
              <a:xfrm>
                <a:off x="596" y="685"/>
                <a:ext cx="26" cy="28"/>
              </a:xfrm>
              <a:prstGeom prst="ellipse">
                <a:avLst/>
              </a:prstGeom>
              <a:solidFill>
                <a:srgbClr val="FF9933"/>
              </a:solidFill>
              <a:ln w="9525">
                <a:solidFill>
                  <a:srgbClr val="000000"/>
                </a:solidFill>
                <a:round/>
                <a:headEnd/>
                <a:tailEnd/>
              </a:ln>
            </xdr:spPr>
          </xdr:sp>
          <xdr:sp macro="" textlink="">
            <xdr:nvSpPr>
              <xdr:cNvPr id="12614" name="Rectangle 1428">
                <a:extLst>
                  <a:ext uri="{FF2B5EF4-FFF2-40B4-BE49-F238E27FC236}">
                    <a16:creationId xmlns:a16="http://schemas.microsoft.com/office/drawing/2014/main" id="{00000000-0008-0000-1100-000046310000}"/>
                  </a:ext>
                </a:extLst>
              </xdr:cNvPr>
              <xdr:cNvSpPr>
                <a:spLocks noChangeArrowheads="1"/>
              </xdr:cNvSpPr>
            </xdr:nvSpPr>
            <xdr:spPr bwMode="auto">
              <a:xfrm>
                <a:off x="591" y="691"/>
                <a:ext cx="8" cy="13"/>
              </a:xfrm>
              <a:prstGeom prst="rect">
                <a:avLst/>
              </a:prstGeom>
              <a:solidFill>
                <a:srgbClr val="FF9933"/>
              </a:solidFill>
              <a:ln w="9525">
                <a:noFill/>
                <a:miter lim="800000"/>
                <a:headEnd/>
                <a:tailEnd/>
              </a:ln>
            </xdr:spPr>
          </xdr:sp>
          <xdr:sp macro="" textlink="">
            <xdr:nvSpPr>
              <xdr:cNvPr id="12615" name="AutoShape 1429">
                <a:extLst>
                  <a:ext uri="{FF2B5EF4-FFF2-40B4-BE49-F238E27FC236}">
                    <a16:creationId xmlns:a16="http://schemas.microsoft.com/office/drawing/2014/main" id="{00000000-0008-0000-1100-000047310000}"/>
                  </a:ext>
                </a:extLst>
              </xdr:cNvPr>
              <xdr:cNvSpPr>
                <a:spLocks noChangeArrowheads="1"/>
              </xdr:cNvSpPr>
            </xdr:nvSpPr>
            <xdr:spPr bwMode="auto">
              <a:xfrm>
                <a:off x="598"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16" name="Oval 1430">
                <a:extLst>
                  <a:ext uri="{FF2B5EF4-FFF2-40B4-BE49-F238E27FC236}">
                    <a16:creationId xmlns:a16="http://schemas.microsoft.com/office/drawing/2014/main" id="{00000000-0008-0000-1100-000048310000}"/>
                  </a:ext>
                </a:extLst>
              </xdr:cNvPr>
              <xdr:cNvSpPr>
                <a:spLocks noChangeArrowheads="1"/>
              </xdr:cNvSpPr>
            </xdr:nvSpPr>
            <xdr:spPr bwMode="auto">
              <a:xfrm>
                <a:off x="603" y="693"/>
                <a:ext cx="12" cy="12"/>
              </a:xfrm>
              <a:prstGeom prst="ellipse">
                <a:avLst/>
              </a:prstGeom>
              <a:solidFill>
                <a:srgbClr val="FF9933"/>
              </a:solidFill>
              <a:ln w="9525">
                <a:solidFill>
                  <a:srgbClr val="000000"/>
                </a:solidFill>
                <a:round/>
                <a:headEnd/>
                <a:tailEnd/>
              </a:ln>
            </xdr:spPr>
          </xdr:sp>
        </xdr:grpSp>
        <xdr:grpSp>
          <xdr:nvGrpSpPr>
            <xdr:cNvPr id="12592" name="Group 1494">
              <a:extLst>
                <a:ext uri="{FF2B5EF4-FFF2-40B4-BE49-F238E27FC236}">
                  <a16:creationId xmlns:a16="http://schemas.microsoft.com/office/drawing/2014/main" id="{00000000-0008-0000-1100-000030310000}"/>
                </a:ext>
              </a:extLst>
            </xdr:cNvPr>
            <xdr:cNvGrpSpPr>
              <a:grpSpLocks/>
            </xdr:cNvGrpSpPr>
          </xdr:nvGrpSpPr>
          <xdr:grpSpPr bwMode="auto">
            <a:xfrm>
              <a:off x="4120972" y="10397761"/>
              <a:ext cx="581925" cy="261237"/>
              <a:chOff x="561" y="685"/>
              <a:chExt cx="61" cy="28"/>
            </a:xfrm>
          </xdr:grpSpPr>
          <xdr:sp macro="" textlink="">
            <xdr:nvSpPr>
              <xdr:cNvPr id="12605" name="Rectangle 1495">
                <a:extLst>
                  <a:ext uri="{FF2B5EF4-FFF2-40B4-BE49-F238E27FC236}">
                    <a16:creationId xmlns:a16="http://schemas.microsoft.com/office/drawing/2014/main" id="{00000000-0008-0000-1100-00003D310000}"/>
                  </a:ext>
                </a:extLst>
              </xdr:cNvPr>
              <xdr:cNvSpPr>
                <a:spLocks noChangeArrowheads="1"/>
              </xdr:cNvSpPr>
            </xdr:nvSpPr>
            <xdr:spPr bwMode="auto">
              <a:xfrm>
                <a:off x="569" y="686"/>
                <a:ext cx="20" cy="23"/>
              </a:xfrm>
              <a:prstGeom prst="rect">
                <a:avLst/>
              </a:prstGeom>
              <a:solidFill>
                <a:srgbClr val="FFFF99"/>
              </a:solidFill>
              <a:ln w="9525">
                <a:solidFill>
                  <a:srgbClr val="000000"/>
                </a:solidFill>
                <a:miter lim="800000"/>
                <a:headEnd/>
                <a:tailEnd/>
              </a:ln>
            </xdr:spPr>
          </xdr:sp>
          <xdr:sp macro="" textlink="">
            <xdr:nvSpPr>
              <xdr:cNvPr id="12606" name="Rectangle 1496">
                <a:extLst>
                  <a:ext uri="{FF2B5EF4-FFF2-40B4-BE49-F238E27FC236}">
                    <a16:creationId xmlns:a16="http://schemas.microsoft.com/office/drawing/2014/main" id="{00000000-0008-0000-1100-00003E310000}"/>
                  </a:ext>
                </a:extLst>
              </xdr:cNvPr>
              <xdr:cNvSpPr>
                <a:spLocks noChangeArrowheads="1"/>
              </xdr:cNvSpPr>
            </xdr:nvSpPr>
            <xdr:spPr bwMode="auto">
              <a:xfrm>
                <a:off x="561" y="690"/>
                <a:ext cx="39" cy="15"/>
              </a:xfrm>
              <a:prstGeom prst="rect">
                <a:avLst/>
              </a:prstGeom>
              <a:solidFill>
                <a:srgbClr val="FF9933"/>
              </a:solidFill>
              <a:ln w="9525">
                <a:solidFill>
                  <a:srgbClr val="000000"/>
                </a:solidFill>
                <a:miter lim="800000"/>
                <a:headEnd/>
                <a:tailEnd/>
              </a:ln>
            </xdr:spPr>
          </xdr:sp>
          <xdr:sp macro="" textlink="">
            <xdr:nvSpPr>
              <xdr:cNvPr id="12607" name="Oval 1497">
                <a:extLst>
                  <a:ext uri="{FF2B5EF4-FFF2-40B4-BE49-F238E27FC236}">
                    <a16:creationId xmlns:a16="http://schemas.microsoft.com/office/drawing/2014/main" id="{00000000-0008-0000-1100-00003F310000}"/>
                  </a:ext>
                </a:extLst>
              </xdr:cNvPr>
              <xdr:cNvSpPr>
                <a:spLocks noChangeArrowheads="1"/>
              </xdr:cNvSpPr>
            </xdr:nvSpPr>
            <xdr:spPr bwMode="auto">
              <a:xfrm>
                <a:off x="596" y="685"/>
                <a:ext cx="26" cy="28"/>
              </a:xfrm>
              <a:prstGeom prst="ellipse">
                <a:avLst/>
              </a:prstGeom>
              <a:solidFill>
                <a:srgbClr val="FF9933"/>
              </a:solidFill>
              <a:ln w="9525">
                <a:solidFill>
                  <a:srgbClr val="000000"/>
                </a:solidFill>
                <a:round/>
                <a:headEnd/>
                <a:tailEnd/>
              </a:ln>
            </xdr:spPr>
          </xdr:sp>
          <xdr:sp macro="" textlink="">
            <xdr:nvSpPr>
              <xdr:cNvPr id="12608" name="Rectangle 1498">
                <a:extLst>
                  <a:ext uri="{FF2B5EF4-FFF2-40B4-BE49-F238E27FC236}">
                    <a16:creationId xmlns:a16="http://schemas.microsoft.com/office/drawing/2014/main" id="{00000000-0008-0000-1100-000040310000}"/>
                  </a:ext>
                </a:extLst>
              </xdr:cNvPr>
              <xdr:cNvSpPr>
                <a:spLocks noChangeArrowheads="1"/>
              </xdr:cNvSpPr>
            </xdr:nvSpPr>
            <xdr:spPr bwMode="auto">
              <a:xfrm>
                <a:off x="591" y="691"/>
                <a:ext cx="8" cy="13"/>
              </a:xfrm>
              <a:prstGeom prst="rect">
                <a:avLst/>
              </a:prstGeom>
              <a:solidFill>
                <a:srgbClr val="FF9933"/>
              </a:solidFill>
              <a:ln w="9525">
                <a:noFill/>
                <a:miter lim="800000"/>
                <a:headEnd/>
                <a:tailEnd/>
              </a:ln>
            </xdr:spPr>
          </xdr:sp>
          <xdr:sp macro="" textlink="">
            <xdr:nvSpPr>
              <xdr:cNvPr id="12609" name="AutoShape 1499">
                <a:extLst>
                  <a:ext uri="{FF2B5EF4-FFF2-40B4-BE49-F238E27FC236}">
                    <a16:creationId xmlns:a16="http://schemas.microsoft.com/office/drawing/2014/main" id="{00000000-0008-0000-1100-000041310000}"/>
                  </a:ext>
                </a:extLst>
              </xdr:cNvPr>
              <xdr:cNvSpPr>
                <a:spLocks noChangeArrowheads="1"/>
              </xdr:cNvSpPr>
            </xdr:nvSpPr>
            <xdr:spPr bwMode="auto">
              <a:xfrm>
                <a:off x="598"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10" name="Oval 1500">
                <a:extLst>
                  <a:ext uri="{FF2B5EF4-FFF2-40B4-BE49-F238E27FC236}">
                    <a16:creationId xmlns:a16="http://schemas.microsoft.com/office/drawing/2014/main" id="{00000000-0008-0000-1100-000042310000}"/>
                  </a:ext>
                </a:extLst>
              </xdr:cNvPr>
              <xdr:cNvSpPr>
                <a:spLocks noChangeArrowheads="1"/>
              </xdr:cNvSpPr>
            </xdr:nvSpPr>
            <xdr:spPr bwMode="auto">
              <a:xfrm>
                <a:off x="603" y="693"/>
                <a:ext cx="12" cy="12"/>
              </a:xfrm>
              <a:prstGeom prst="ellipse">
                <a:avLst/>
              </a:prstGeom>
              <a:solidFill>
                <a:srgbClr val="FF9933"/>
              </a:solidFill>
              <a:ln w="9525">
                <a:solidFill>
                  <a:srgbClr val="000000"/>
                </a:solidFill>
                <a:round/>
                <a:headEnd/>
                <a:tailEnd/>
              </a:ln>
            </xdr:spPr>
          </xdr:sp>
        </xdr:grpSp>
        <xdr:sp macro="" textlink="">
          <xdr:nvSpPr>
            <xdr:cNvPr id="12593" name="Rectangle 1501">
              <a:extLst>
                <a:ext uri="{FF2B5EF4-FFF2-40B4-BE49-F238E27FC236}">
                  <a16:creationId xmlns:a16="http://schemas.microsoft.com/office/drawing/2014/main" id="{00000000-0008-0000-1100-000031310000}"/>
                </a:ext>
              </a:extLst>
            </xdr:cNvPr>
            <xdr:cNvSpPr>
              <a:spLocks noChangeArrowheads="1"/>
            </xdr:cNvSpPr>
          </xdr:nvSpPr>
          <xdr:spPr bwMode="auto">
            <a:xfrm>
              <a:off x="9091182" y="10276473"/>
              <a:ext cx="248034" cy="279897"/>
            </a:xfrm>
            <a:prstGeom prst="rect">
              <a:avLst/>
            </a:prstGeom>
            <a:solidFill>
              <a:srgbClr val="FFFFFF"/>
            </a:solidFill>
            <a:ln w="9525">
              <a:solidFill>
                <a:srgbClr val="000000"/>
              </a:solidFill>
              <a:miter lim="800000"/>
              <a:headEnd/>
              <a:tailEnd/>
            </a:ln>
          </xdr:spPr>
        </xdr:sp>
        <xdr:grpSp>
          <xdr:nvGrpSpPr>
            <xdr:cNvPr id="12594" name="Group 1458">
              <a:extLst>
                <a:ext uri="{FF2B5EF4-FFF2-40B4-BE49-F238E27FC236}">
                  <a16:creationId xmlns:a16="http://schemas.microsoft.com/office/drawing/2014/main" id="{00000000-0008-0000-1100-000032310000}"/>
                </a:ext>
              </a:extLst>
            </xdr:cNvPr>
            <xdr:cNvGrpSpPr>
              <a:grpSpLocks/>
            </xdr:cNvGrpSpPr>
          </xdr:nvGrpSpPr>
          <xdr:grpSpPr bwMode="auto">
            <a:xfrm rot="16200000">
              <a:off x="8851438" y="10152246"/>
              <a:ext cx="737061" cy="267113"/>
              <a:chOff x="692" y="685"/>
              <a:chExt cx="60" cy="28"/>
            </a:xfrm>
          </xdr:grpSpPr>
          <xdr:sp macro="" textlink="">
            <xdr:nvSpPr>
              <xdr:cNvPr id="12600" name="Oval 1459">
                <a:extLst>
                  <a:ext uri="{FF2B5EF4-FFF2-40B4-BE49-F238E27FC236}">
                    <a16:creationId xmlns:a16="http://schemas.microsoft.com/office/drawing/2014/main" id="{00000000-0008-0000-1100-000038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01" name="Oval 1460">
                <a:extLst>
                  <a:ext uri="{FF2B5EF4-FFF2-40B4-BE49-F238E27FC236}">
                    <a16:creationId xmlns:a16="http://schemas.microsoft.com/office/drawing/2014/main" id="{00000000-0008-0000-1100-000039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02" name="Rectangle 1461">
                <a:extLst>
                  <a:ext uri="{FF2B5EF4-FFF2-40B4-BE49-F238E27FC236}">
                    <a16:creationId xmlns:a16="http://schemas.microsoft.com/office/drawing/2014/main" id="{00000000-0008-0000-1100-00003A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03" name="Line 1462">
                <a:extLst>
                  <a:ext uri="{FF2B5EF4-FFF2-40B4-BE49-F238E27FC236}">
                    <a16:creationId xmlns:a16="http://schemas.microsoft.com/office/drawing/2014/main" id="{00000000-0008-0000-1100-00003B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04" name="Line 1463">
                <a:extLst>
                  <a:ext uri="{FF2B5EF4-FFF2-40B4-BE49-F238E27FC236}">
                    <a16:creationId xmlns:a16="http://schemas.microsoft.com/office/drawing/2014/main" id="{00000000-0008-0000-1100-00003C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595" name="Line 1437">
              <a:extLst>
                <a:ext uri="{FF2B5EF4-FFF2-40B4-BE49-F238E27FC236}">
                  <a16:creationId xmlns:a16="http://schemas.microsoft.com/office/drawing/2014/main" id="{00000000-0008-0000-1100-000033310000}"/>
                </a:ext>
              </a:extLst>
            </xdr:cNvPr>
            <xdr:cNvSpPr>
              <a:spLocks noChangeShapeType="1"/>
            </xdr:cNvSpPr>
          </xdr:nvSpPr>
          <xdr:spPr bwMode="auto">
            <a:xfrm>
              <a:off x="9348756" y="10061885"/>
              <a:ext cx="0" cy="447835"/>
            </a:xfrm>
            <a:prstGeom prst="line">
              <a:avLst/>
            </a:prstGeom>
            <a:noFill/>
            <a:ln w="9525">
              <a:solidFill>
                <a:srgbClr val="000000"/>
              </a:solidFill>
              <a:round/>
              <a:headEnd/>
              <a:tailEnd/>
            </a:ln>
          </xdr:spPr>
        </xdr:sp>
        <xdr:sp macro="" textlink="">
          <xdr:nvSpPr>
            <xdr:cNvPr id="12596" name="AutoShape 1464">
              <a:extLst>
                <a:ext uri="{FF2B5EF4-FFF2-40B4-BE49-F238E27FC236}">
                  <a16:creationId xmlns:a16="http://schemas.microsoft.com/office/drawing/2014/main" id="{00000000-0008-0000-1100-000034310000}"/>
                </a:ext>
              </a:extLst>
            </xdr:cNvPr>
            <xdr:cNvSpPr>
              <a:spLocks noChangeArrowheads="1"/>
            </xdr:cNvSpPr>
          </xdr:nvSpPr>
          <xdr:spPr bwMode="auto">
            <a:xfrm>
              <a:off x="9119802" y="9968586"/>
              <a:ext cx="209875" cy="16793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597" name="Oval 1465">
              <a:extLst>
                <a:ext uri="{FF2B5EF4-FFF2-40B4-BE49-F238E27FC236}">
                  <a16:creationId xmlns:a16="http://schemas.microsoft.com/office/drawing/2014/main" id="{00000000-0008-0000-1100-000035310000}"/>
                </a:ext>
              </a:extLst>
            </xdr:cNvPr>
            <xdr:cNvSpPr>
              <a:spLocks noChangeArrowheads="1"/>
            </xdr:cNvSpPr>
          </xdr:nvSpPr>
          <xdr:spPr bwMode="auto">
            <a:xfrm>
              <a:off x="9167500" y="9996576"/>
              <a:ext cx="114477" cy="111959"/>
            </a:xfrm>
            <a:prstGeom prst="ellipse">
              <a:avLst/>
            </a:prstGeom>
            <a:solidFill>
              <a:srgbClr val="FF9933"/>
            </a:solidFill>
            <a:ln w="9525">
              <a:solidFill>
                <a:srgbClr val="000000"/>
              </a:solidFill>
              <a:round/>
              <a:headEnd/>
              <a:tailEnd/>
            </a:ln>
          </xdr:spPr>
        </xdr:sp>
        <xdr:sp macro="" textlink="">
          <xdr:nvSpPr>
            <xdr:cNvPr id="12598" name="Rectangle 1502">
              <a:extLst>
                <a:ext uri="{FF2B5EF4-FFF2-40B4-BE49-F238E27FC236}">
                  <a16:creationId xmlns:a16="http://schemas.microsoft.com/office/drawing/2014/main" id="{00000000-0008-0000-1100-000036310000}"/>
                </a:ext>
              </a:extLst>
            </xdr:cNvPr>
            <xdr:cNvSpPr>
              <a:spLocks noChangeArrowheads="1"/>
            </xdr:cNvSpPr>
          </xdr:nvSpPr>
          <xdr:spPr bwMode="auto">
            <a:xfrm>
              <a:off x="9024404" y="10397761"/>
              <a:ext cx="200335" cy="251907"/>
            </a:xfrm>
            <a:prstGeom prst="rect">
              <a:avLst/>
            </a:prstGeom>
            <a:solidFill>
              <a:srgbClr val="FF9933"/>
            </a:solidFill>
            <a:ln w="9525">
              <a:noFill/>
              <a:miter lim="800000"/>
              <a:headEnd/>
              <a:tailEnd/>
            </a:ln>
          </xdr:spPr>
        </xdr:sp>
        <xdr:sp macro="" textlink="">
          <xdr:nvSpPr>
            <xdr:cNvPr id="12599" name="Line 1385">
              <a:extLst>
                <a:ext uri="{FF2B5EF4-FFF2-40B4-BE49-F238E27FC236}">
                  <a16:creationId xmlns:a16="http://schemas.microsoft.com/office/drawing/2014/main" id="{00000000-0008-0000-1100-000037310000}"/>
                </a:ext>
              </a:extLst>
            </xdr:cNvPr>
            <xdr:cNvSpPr>
              <a:spLocks noChangeShapeType="1"/>
            </xdr:cNvSpPr>
          </xdr:nvSpPr>
          <xdr:spPr bwMode="auto">
            <a:xfrm>
              <a:off x="5656872" y="10798946"/>
              <a:ext cx="0" cy="102629"/>
            </a:xfrm>
            <a:prstGeom prst="line">
              <a:avLst/>
            </a:prstGeom>
            <a:noFill/>
            <a:ln w="19050">
              <a:solidFill>
                <a:srgbClr val="0000FF"/>
              </a:solidFill>
              <a:prstDash val="sysDot"/>
              <a:round/>
              <a:headEnd/>
              <a:tailEnd/>
            </a:ln>
          </xdr:spPr>
        </xdr:sp>
        <xdr:sp macro="" textlink="">
          <xdr:nvSpPr>
            <xdr:cNvPr id="12589" name="Line 1485">
              <a:extLst>
                <a:ext uri="{FF2B5EF4-FFF2-40B4-BE49-F238E27FC236}">
                  <a16:creationId xmlns:a16="http://schemas.microsoft.com/office/drawing/2014/main" id="{00000000-0008-0000-1100-00002D310000}"/>
                </a:ext>
              </a:extLst>
            </xdr:cNvPr>
            <xdr:cNvSpPr>
              <a:spLocks noChangeShapeType="1"/>
            </xdr:cNvSpPr>
          </xdr:nvSpPr>
          <xdr:spPr bwMode="auto">
            <a:xfrm>
              <a:off x="4588420" y="10388431"/>
              <a:ext cx="4512303" cy="0"/>
            </a:xfrm>
            <a:prstGeom prst="line">
              <a:avLst/>
            </a:prstGeom>
            <a:noFill/>
            <a:ln w="9525">
              <a:solidFill>
                <a:srgbClr val="000000"/>
              </a:solidFill>
              <a:round/>
              <a:headEnd/>
              <a:tailEnd/>
            </a:ln>
          </xdr:spPr>
        </xdr:sp>
        <xdr:grpSp>
          <xdr:nvGrpSpPr>
            <xdr:cNvPr id="594" name="Group 593">
              <a:extLst>
                <a:ext uri="{FF2B5EF4-FFF2-40B4-BE49-F238E27FC236}">
                  <a16:creationId xmlns:a16="http://schemas.microsoft.com/office/drawing/2014/main" id="{00000000-0008-0000-1100-000052020000}"/>
                </a:ext>
              </a:extLst>
            </xdr:cNvPr>
            <xdr:cNvGrpSpPr/>
          </xdr:nvGrpSpPr>
          <xdr:grpSpPr>
            <a:xfrm>
              <a:off x="9101682" y="10832797"/>
              <a:ext cx="314812" cy="83969"/>
              <a:chOff x="7984571" y="10826936"/>
              <a:chExt cx="314812" cy="83969"/>
            </a:xfrm>
          </xdr:grpSpPr>
          <xdr:sp macro="" textlink="">
            <xdr:nvSpPr>
              <xdr:cNvPr id="595" name="Line 1358">
                <a:extLst>
                  <a:ext uri="{FF2B5EF4-FFF2-40B4-BE49-F238E27FC236}">
                    <a16:creationId xmlns:a16="http://schemas.microsoft.com/office/drawing/2014/main" id="{00000000-0008-0000-1100-000053020000}"/>
                  </a:ext>
                </a:extLst>
              </xdr:cNvPr>
              <xdr:cNvSpPr>
                <a:spLocks noChangeShapeType="1"/>
              </xdr:cNvSpPr>
            </xdr:nvSpPr>
            <xdr:spPr bwMode="auto">
              <a:xfrm>
                <a:off x="7984571" y="10826936"/>
                <a:ext cx="314812" cy="0"/>
              </a:xfrm>
              <a:prstGeom prst="line">
                <a:avLst/>
              </a:prstGeom>
              <a:noFill/>
              <a:ln w="19050">
                <a:solidFill>
                  <a:srgbClr val="0000FF"/>
                </a:solidFill>
                <a:round/>
                <a:headEnd/>
                <a:tailEnd/>
              </a:ln>
            </xdr:spPr>
          </xdr:sp>
          <xdr:sp macro="" textlink="">
            <xdr:nvSpPr>
              <xdr:cNvPr id="596" name="Line 1387">
                <a:extLst>
                  <a:ext uri="{FF2B5EF4-FFF2-40B4-BE49-F238E27FC236}">
                    <a16:creationId xmlns:a16="http://schemas.microsoft.com/office/drawing/2014/main" id="{00000000-0008-0000-1100-000054020000}"/>
                  </a:ext>
                </a:extLst>
              </xdr:cNvPr>
              <xdr:cNvSpPr>
                <a:spLocks noChangeShapeType="1"/>
              </xdr:cNvSpPr>
            </xdr:nvSpPr>
            <xdr:spPr bwMode="auto">
              <a:xfrm>
                <a:off x="8137207" y="10836266"/>
                <a:ext cx="0" cy="74639"/>
              </a:xfrm>
              <a:prstGeom prst="line">
                <a:avLst/>
              </a:prstGeom>
              <a:noFill/>
              <a:ln w="19050">
                <a:solidFill>
                  <a:srgbClr val="0000FF"/>
                </a:solidFill>
                <a:prstDash val="sysDot"/>
                <a:round/>
                <a:headEnd/>
                <a:tailEnd/>
              </a:ln>
            </xdr:spPr>
          </xdr:sp>
        </xdr:grpSp>
      </xdr:grpSp>
    </xdr:grp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863600</xdr:colOff>
          <xdr:row>10</xdr:row>
          <xdr:rowOff>0</xdr:rowOff>
        </xdr:from>
        <xdr:to>
          <xdr:col>7</xdr:col>
          <xdr:colOff>698500</xdr:colOff>
          <xdr:row>12</xdr:row>
          <xdr:rowOff>50800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200-000001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constant variables to workbook</a:t>
              </a:r>
            </a:p>
            <a:p>
              <a:pPr algn="ctr"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C2:C6" totalsRowShown="0" headerRowDxfId="8" dataDxfId="7">
  <autoFilter ref="C2:C6" xr:uid="{00000000-0009-0000-0100-000002000000}"/>
  <tableColumns count="1">
    <tableColumn id="1" xr3:uid="{00000000-0010-0000-0000-000001000000}" name="Column1"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D2:D5" totalsRowShown="0" headerRowDxfId="5" dataDxfId="4">
  <autoFilter ref="D2:D5" xr:uid="{00000000-0009-0000-0100-000005000000}"/>
  <tableColumns count="1">
    <tableColumn id="1" xr3:uid="{00000000-0010-0000-0100-000001000000}" name="Column1"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45" displayName="Table545" ref="C10:C13" totalsRowShown="0" headerRowDxfId="2" dataDxfId="1">
  <autoFilter ref="C10:C13" xr:uid="{00000000-0009-0000-0100-000004000000}"/>
  <tableColumns count="1">
    <tableColumn id="1" xr3:uid="{00000000-0010-0000-0200-000001000000}"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table" Target="../tables/table3.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5:A60"/>
  <sheetViews>
    <sheetView zoomScale="85" zoomScaleNormal="85" workbookViewId="0">
      <selection activeCell="R5" sqref="R5"/>
    </sheetView>
  </sheetViews>
  <sheetFormatPr baseColWidth="10" defaultColWidth="8.83203125" defaultRowHeight="13"/>
  <sheetData>
    <row r="55" spans="1:1" ht="16">
      <c r="A55" s="13" t="s">
        <v>1525</v>
      </c>
    </row>
    <row r="56" spans="1:1" ht="16">
      <c r="A56" s="13" t="s">
        <v>725</v>
      </c>
    </row>
    <row r="57" spans="1:1" ht="16">
      <c r="A57" s="13" t="s">
        <v>1186</v>
      </c>
    </row>
    <row r="58" spans="1:1" ht="16">
      <c r="A58" s="13" t="s">
        <v>726</v>
      </c>
    </row>
    <row r="59" spans="1:1" ht="16">
      <c r="A59" s="435" t="s">
        <v>1524</v>
      </c>
    </row>
    <row r="60" spans="1:1" ht="16">
      <c r="A60" s="435" t="s">
        <v>1027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tint="-0.249977111117893"/>
    <pageSetUpPr fitToPage="1"/>
  </sheetPr>
  <dimension ref="A1:AV597"/>
  <sheetViews>
    <sheetView tabSelected="1" zoomScale="55" zoomScaleNormal="55" workbookViewId="0">
      <pane ySplit="4" topLeftCell="A15" activePane="bottomLeft" state="frozen"/>
      <selection pane="bottomLeft" activeCell="I25" sqref="I25"/>
    </sheetView>
  </sheetViews>
  <sheetFormatPr baseColWidth="10" defaultColWidth="9.1640625" defaultRowHeight="16"/>
  <cols>
    <col min="1" max="1" width="5.5" style="256" customWidth="1"/>
    <col min="2" max="2" width="11.6640625" style="14" customWidth="1"/>
    <col min="3" max="3" width="73.6640625" style="646" customWidth="1"/>
    <col min="4" max="5" width="22.6640625" style="45" customWidth="1"/>
    <col min="6" max="10" width="22.6640625" style="14" customWidth="1"/>
    <col min="11" max="11" width="10.33203125" style="14" customWidth="1"/>
    <col min="12" max="12" width="13.6640625" style="14" customWidth="1"/>
    <col min="13" max="13" width="14.1640625" style="14" customWidth="1"/>
    <col min="14" max="14" width="16" style="14" customWidth="1"/>
    <col min="15" max="15" width="13.5" style="14" customWidth="1"/>
    <col min="16" max="16" width="10.33203125" style="14" customWidth="1"/>
    <col min="17" max="17" width="61.1640625" style="14" customWidth="1"/>
    <col min="18" max="18" width="17.83203125" style="14" customWidth="1"/>
    <col min="19" max="19" width="22.6640625" style="14" customWidth="1"/>
    <col min="20" max="20" width="23.6640625" style="14" customWidth="1"/>
    <col min="21" max="21" width="17.83203125" style="14" customWidth="1"/>
    <col min="22" max="22" width="18.5" style="14" customWidth="1"/>
    <col min="23" max="23" width="18.33203125" style="14" customWidth="1"/>
    <col min="24" max="24" width="21.1640625" style="14" customWidth="1"/>
    <col min="25" max="25" width="33.1640625" style="14" customWidth="1"/>
    <col min="26" max="29" width="10.33203125" style="14" customWidth="1"/>
    <col min="30" max="30" width="74" style="14" customWidth="1"/>
    <col min="31" max="39" width="10.33203125" style="14" customWidth="1"/>
    <col min="40" max="16384" width="9.1640625" style="14"/>
  </cols>
  <sheetData>
    <row r="1" spans="1:48" ht="15" customHeight="1">
      <c r="A1" s="754"/>
      <c r="B1" s="1243" t="s">
        <v>979</v>
      </c>
      <c r="C1" s="1244"/>
      <c r="D1" s="1244"/>
      <c r="E1" s="1244"/>
      <c r="F1" s="1244"/>
      <c r="G1" s="1244"/>
      <c r="H1" s="1244"/>
      <c r="I1" s="1244"/>
      <c r="J1" s="1244"/>
      <c r="K1" s="1244"/>
      <c r="L1" s="1245"/>
      <c r="M1" s="256"/>
      <c r="N1" s="256"/>
      <c r="O1" s="256"/>
      <c r="P1" s="256"/>
    </row>
    <row r="2" spans="1:48" ht="15.75" customHeight="1" thickBot="1">
      <c r="A2" s="754"/>
      <c r="B2" s="1246"/>
      <c r="C2" s="1247"/>
      <c r="D2" s="1247"/>
      <c r="E2" s="1247"/>
      <c r="F2" s="1247"/>
      <c r="G2" s="1247"/>
      <c r="H2" s="1247"/>
      <c r="I2" s="1247"/>
      <c r="J2" s="1247"/>
      <c r="K2" s="1247"/>
      <c r="L2" s="1248"/>
      <c r="M2" s="256"/>
      <c r="N2" s="256"/>
      <c r="O2" s="256"/>
      <c r="P2" s="256"/>
    </row>
    <row r="3" spans="1:48" ht="21" thickBot="1">
      <c r="A3" s="754"/>
      <c r="B3" s="738" t="s">
        <v>1025</v>
      </c>
      <c r="C3" s="741"/>
      <c r="D3" s="742" t="s">
        <v>744</v>
      </c>
      <c r="E3" s="739"/>
      <c r="F3" s="740"/>
      <c r="G3" s="743" t="s">
        <v>745</v>
      </c>
      <c r="H3" s="744"/>
      <c r="I3" s="1249" t="s">
        <v>746</v>
      </c>
      <c r="J3" s="1250"/>
      <c r="K3" s="1250"/>
      <c r="L3" s="1251"/>
      <c r="M3" s="256"/>
      <c r="N3" s="256"/>
      <c r="O3" s="256"/>
      <c r="P3" s="256"/>
    </row>
    <row r="4" spans="1:48">
      <c r="A4" s="754"/>
      <c r="C4"/>
      <c r="D4"/>
      <c r="E4"/>
      <c r="F4"/>
      <c r="G4"/>
      <c r="H4"/>
      <c r="I4"/>
      <c r="J4"/>
      <c r="K4" s="256"/>
      <c r="L4" s="256"/>
      <c r="M4" s="256"/>
      <c r="N4" s="256"/>
      <c r="O4" s="256"/>
      <c r="P4" s="256"/>
    </row>
    <row r="5" spans="1:48">
      <c r="A5" s="754"/>
      <c r="C5"/>
      <c r="D5"/>
      <c r="E5"/>
      <c r="F5"/>
      <c r="G5"/>
      <c r="H5"/>
      <c r="I5"/>
      <c r="J5"/>
    </row>
    <row r="6" spans="1:48" ht="19.5" customHeight="1" thickBot="1">
      <c r="A6" s="754"/>
      <c r="B6" s="322"/>
      <c r="C6"/>
      <c r="D6"/>
      <c r="E6"/>
      <c r="F6"/>
      <c r="G6"/>
      <c r="H6"/>
      <c r="I6"/>
      <c r="J6"/>
      <c r="O6" s="256"/>
      <c r="P6" s="256"/>
      <c r="Q6" s="256"/>
      <c r="R6" s="256"/>
      <c r="S6" s="256"/>
      <c r="T6" s="256"/>
      <c r="U6" s="256"/>
      <c r="V6" s="256"/>
      <c r="W6" s="256"/>
      <c r="X6" s="256"/>
      <c r="Y6" s="256"/>
    </row>
    <row r="7" spans="1:48" s="647" customFormat="1" ht="41.25" customHeight="1" thickBot="1">
      <c r="B7" s="1252" t="s">
        <v>741</v>
      </c>
      <c r="C7" s="1253"/>
      <c r="D7" s="1253"/>
      <c r="E7" s="1253"/>
      <c r="F7" s="1253"/>
      <c r="G7" s="1253"/>
      <c r="H7" s="1253"/>
      <c r="I7" s="1253"/>
      <c r="J7" s="1253"/>
      <c r="K7" s="1253"/>
      <c r="L7" s="1254"/>
      <c r="M7" s="648"/>
      <c r="N7" s="648"/>
      <c r="O7" s="256"/>
      <c r="P7" s="256"/>
      <c r="Q7" s="256"/>
      <c r="R7" s="256"/>
      <c r="S7" s="256"/>
      <c r="T7" s="256"/>
      <c r="U7" s="256"/>
      <c r="V7" s="256"/>
      <c r="W7" s="256"/>
      <c r="X7" s="256"/>
      <c r="Y7" s="256"/>
    </row>
    <row r="8" spans="1:48" ht="42.75" customHeight="1">
      <c r="B8" s="649" t="s">
        <v>882</v>
      </c>
      <c r="C8" s="650"/>
      <c r="D8" s="795" t="s">
        <v>735</v>
      </c>
      <c r="E8" s="851" t="s">
        <v>957</v>
      </c>
      <c r="F8" s="651"/>
      <c r="G8" s="651" t="s">
        <v>938</v>
      </c>
      <c r="H8" s="795" t="s">
        <v>735</v>
      </c>
      <c r="I8" s="782"/>
      <c r="J8" s="696"/>
      <c r="K8" s="771"/>
      <c r="L8" s="772"/>
      <c r="M8" s="653"/>
      <c r="N8" s="653"/>
      <c r="O8" s="256"/>
      <c r="P8" s="256"/>
      <c r="Q8" s="256"/>
      <c r="R8" s="256"/>
      <c r="S8" s="256"/>
      <c r="T8" s="256"/>
      <c r="U8" s="256"/>
      <c r="V8" s="256"/>
      <c r="W8" s="256"/>
      <c r="X8" s="256"/>
      <c r="Y8" s="256"/>
    </row>
    <row r="9" spans="1:48" ht="26" customHeight="1">
      <c r="B9" s="654"/>
      <c r="C9" s="655" t="s">
        <v>734</v>
      </c>
      <c r="D9" s="756" t="str">
        <f>E9</f>
        <v>LFP-G</v>
      </c>
      <c r="E9" s="656" t="s">
        <v>166</v>
      </c>
      <c r="F9" s="653"/>
      <c r="G9" s="678"/>
      <c r="H9" s="678"/>
      <c r="I9" s="678"/>
      <c r="J9" s="678"/>
      <c r="K9" s="653"/>
      <c r="L9" s="669"/>
      <c r="M9" s="653"/>
      <c r="N9" s="653"/>
      <c r="O9" s="256"/>
      <c r="P9" s="256"/>
      <c r="Q9" s="256"/>
      <c r="R9" s="256"/>
      <c r="S9" s="256"/>
      <c r="T9" s="256"/>
      <c r="U9" s="256"/>
      <c r="V9" s="256"/>
      <c r="W9" s="256"/>
      <c r="X9" s="256"/>
      <c r="Y9" s="256"/>
    </row>
    <row r="10" spans="1:48" ht="29.25" customHeight="1">
      <c r="B10" s="654"/>
      <c r="C10" s="1261" t="str">
        <f>"Positive Electrode: " &amp; INDEX(Lists!$O$19:$O$40,MATCH(Chem!C6,Lists!$K$19:$K$40,0))</f>
        <v>Positive Electrode: LiFePO4</v>
      </c>
      <c r="D10" s="1261"/>
      <c r="E10" s="783" t="s">
        <v>170</v>
      </c>
      <c r="F10" s="659"/>
      <c r="G10" s="660" t="s">
        <v>29</v>
      </c>
      <c r="H10" s="653"/>
      <c r="I10" s="783" t="s">
        <v>170</v>
      </c>
      <c r="J10" s="678"/>
      <c r="K10" s="653"/>
      <c r="L10" s="669"/>
      <c r="M10" s="653"/>
      <c r="N10" s="653"/>
      <c r="O10" s="256"/>
      <c r="P10" s="256"/>
      <c r="Q10" s="256"/>
      <c r="R10" s="256"/>
      <c r="S10" s="256"/>
      <c r="T10" s="256"/>
      <c r="U10" s="256"/>
      <c r="V10" s="256"/>
      <c r="W10" s="256"/>
      <c r="X10" s="256"/>
      <c r="Y10" s="256"/>
    </row>
    <row r="11" spans="1:48" ht="26" customHeight="1">
      <c r="B11" s="654"/>
      <c r="C11" s="800" t="s">
        <v>1206</v>
      </c>
      <c r="D11" s="662">
        <f>Chem!C8</f>
        <v>150</v>
      </c>
      <c r="E11" s="663"/>
      <c r="F11" s="659"/>
      <c r="G11" s="799" t="s">
        <v>6</v>
      </c>
      <c r="H11" s="664">
        <f>Chem!C94</f>
        <v>7</v>
      </c>
      <c r="I11" s="663">
        <v>7</v>
      </c>
      <c r="J11" s="678"/>
      <c r="K11" s="653"/>
      <c r="L11" s="669"/>
      <c r="M11" s="653"/>
      <c r="N11" s="653"/>
      <c r="O11" s="256"/>
      <c r="P11" s="256"/>
      <c r="Q11" s="256"/>
      <c r="R11" s="256"/>
      <c r="S11" s="256"/>
      <c r="T11" s="256"/>
      <c r="U11" s="256"/>
      <c r="V11" s="256"/>
      <c r="W11" s="256"/>
      <c r="X11" s="256"/>
      <c r="Y11" s="256"/>
    </row>
    <row r="12" spans="1:48" ht="26" customHeight="1">
      <c r="B12" s="654"/>
      <c r="C12" s="800" t="s">
        <v>1207</v>
      </c>
      <c r="D12" s="662">
        <f>Chem!C14</f>
        <v>25</v>
      </c>
      <c r="E12" s="663"/>
      <c r="F12" s="659"/>
      <c r="G12" s="799" t="s">
        <v>10</v>
      </c>
      <c r="H12" s="664">
        <f>Chem!C95</f>
        <v>6.6</v>
      </c>
      <c r="I12" s="663"/>
      <c r="J12" s="678"/>
      <c r="K12" s="653"/>
      <c r="L12" s="669"/>
      <c r="M12" s="653"/>
      <c r="N12" s="653"/>
      <c r="O12" s="256"/>
      <c r="P12" s="256"/>
      <c r="Q12" s="256"/>
      <c r="R12" s="256"/>
      <c r="S12" s="256"/>
      <c r="T12" s="256"/>
      <c r="U12" s="256"/>
      <c r="V12" s="256"/>
      <c r="W12" s="256"/>
      <c r="X12" s="256"/>
      <c r="Y12" s="256"/>
    </row>
    <row r="13" spans="1:48" ht="26" customHeight="1">
      <c r="B13" s="654"/>
      <c r="C13" s="800" t="s">
        <v>1109</v>
      </c>
      <c r="D13" s="662">
        <f>Chem!C24</f>
        <v>15</v>
      </c>
      <c r="E13" s="663"/>
      <c r="F13" s="659"/>
      <c r="G13" s="799" t="s">
        <v>11</v>
      </c>
      <c r="H13" s="664">
        <f>Chem!C96</f>
        <v>9.5</v>
      </c>
      <c r="I13" s="663"/>
      <c r="J13" s="678"/>
      <c r="K13" s="653"/>
      <c r="L13" s="669"/>
      <c r="M13" s="653"/>
      <c r="N13" s="653"/>
      <c r="O13" s="256"/>
      <c r="P13" s="256"/>
      <c r="Q13" s="256"/>
      <c r="R13" s="256"/>
      <c r="S13" s="256"/>
      <c r="T13" s="256"/>
      <c r="U13" s="256"/>
      <c r="V13" s="256"/>
      <c r="W13" s="256"/>
      <c r="X13" s="256"/>
      <c r="Y13" s="256"/>
    </row>
    <row r="14" spans="1:48" ht="26" customHeight="1">
      <c r="B14" s="654"/>
      <c r="C14" s="800" t="s">
        <v>1208</v>
      </c>
      <c r="D14" s="662">
        <f>Chem!C19</f>
        <v>120</v>
      </c>
      <c r="E14" s="663"/>
      <c r="F14" s="659"/>
      <c r="G14" s="799" t="str">
        <f>"Solvent (" &amp; Chem!C13 &amp; ")"</f>
        <v>Solvent (NMP)</v>
      </c>
      <c r="H14" s="664">
        <f>Chem!C97</f>
        <v>3.1</v>
      </c>
      <c r="I14" s="663"/>
      <c r="J14" s="678"/>
      <c r="K14" s="653"/>
      <c r="L14" s="669"/>
      <c r="M14" s="653"/>
      <c r="N14" s="653"/>
      <c r="O14" s="256"/>
      <c r="P14" s="256"/>
      <c r="Q14" s="256"/>
      <c r="R14" s="256"/>
      <c r="S14" s="256"/>
      <c r="T14" s="256"/>
      <c r="U14" s="256"/>
      <c r="V14" s="256"/>
      <c r="W14" s="256"/>
      <c r="X14" s="256"/>
      <c r="Y14" s="256"/>
    </row>
    <row r="15" spans="1:48" ht="26" customHeight="1">
      <c r="B15" s="654"/>
      <c r="C15" s="659"/>
      <c r="D15" s="659"/>
      <c r="E15" s="659"/>
      <c r="F15" s="659"/>
      <c r="G15" s="801"/>
      <c r="H15" s="665"/>
      <c r="I15" s="665"/>
      <c r="J15" s="678"/>
      <c r="K15" s="653"/>
      <c r="L15" s="669"/>
      <c r="M15" s="653"/>
      <c r="N15" s="653"/>
      <c r="O15" s="256"/>
      <c r="P15" s="256"/>
      <c r="Q15" s="256"/>
      <c r="R15" s="256"/>
      <c r="S15" s="256"/>
      <c r="T15" s="256"/>
      <c r="U15" s="256"/>
      <c r="V15" s="256"/>
      <c r="W15" s="256"/>
      <c r="X15" s="256"/>
      <c r="Y15" s="256"/>
      <c r="AP15" s="256"/>
      <c r="AQ15" s="256"/>
      <c r="AR15" s="256"/>
      <c r="AS15" s="256"/>
      <c r="AT15" s="256"/>
      <c r="AU15" s="256"/>
      <c r="AV15" s="256"/>
    </row>
    <row r="16" spans="1:48" ht="26" customHeight="1">
      <c r="B16" s="654"/>
      <c r="C16" s="1261" t="str">
        <f>"Negative Electrode: " &amp; INDEX(Lists!$O$19:$O$40,MATCH(Chem!C29,Lists!$K$19:$K$40,0)) &amp; IF(Chem!C28 = "Yes", " with 5% Si", "")</f>
        <v>Negative Electrode: Graphite</v>
      </c>
      <c r="D16" s="1261"/>
      <c r="E16" s="783"/>
      <c r="F16" s="659"/>
      <c r="G16" s="660" t="s">
        <v>1007</v>
      </c>
      <c r="H16" s="659"/>
      <c r="I16" s="783" t="s">
        <v>170</v>
      </c>
      <c r="J16" s="678"/>
      <c r="K16" s="653"/>
      <c r="L16" s="669"/>
      <c r="M16" s="653"/>
      <c r="N16" s="653"/>
      <c r="O16" s="256"/>
      <c r="P16" s="256"/>
      <c r="Q16" s="256"/>
      <c r="R16" s="256"/>
      <c r="S16" s="256"/>
      <c r="T16" s="256"/>
      <c r="U16" s="256"/>
      <c r="V16" s="256"/>
      <c r="W16" s="256"/>
      <c r="X16" s="256"/>
      <c r="Y16" s="256"/>
      <c r="AP16" s="256"/>
      <c r="AQ16" s="256"/>
      <c r="AR16" s="256"/>
      <c r="AS16" s="256"/>
      <c r="AT16" s="256"/>
      <c r="AU16" s="256"/>
      <c r="AV16" s="256"/>
    </row>
    <row r="17" spans="2:30" ht="26" customHeight="1">
      <c r="B17" s="654"/>
      <c r="C17" s="800" t="s">
        <v>1209</v>
      </c>
      <c r="D17" s="662">
        <f>Chem!C31</f>
        <v>3800</v>
      </c>
      <c r="E17" s="663">
        <v>3800</v>
      </c>
      <c r="F17" s="659"/>
      <c r="G17" s="799" t="s">
        <v>6</v>
      </c>
      <c r="H17" s="664">
        <f>Chem!C99</f>
        <v>0</v>
      </c>
      <c r="I17" s="663">
        <v>0</v>
      </c>
      <c r="J17" s="678"/>
      <c r="K17" s="653"/>
      <c r="L17" s="669"/>
      <c r="M17" s="653"/>
      <c r="N17" s="653"/>
      <c r="O17" s="256"/>
      <c r="P17" s="256"/>
      <c r="Q17" s="256"/>
      <c r="R17" s="256"/>
      <c r="S17" s="256"/>
      <c r="T17" s="256"/>
      <c r="U17" s="256"/>
      <c r="V17" s="256"/>
      <c r="W17" s="256"/>
      <c r="X17" s="256"/>
      <c r="Y17" s="256"/>
    </row>
    <row r="18" spans="2:30" ht="26" customHeight="1">
      <c r="B18" s="654"/>
      <c r="C18" s="800" t="s">
        <v>163</v>
      </c>
      <c r="D18" s="666">
        <f>Chem!C30</f>
        <v>1.2</v>
      </c>
      <c r="E18" s="663"/>
      <c r="F18" s="659"/>
      <c r="G18" s="799" t="s">
        <v>961</v>
      </c>
      <c r="H18" s="664">
        <f>Chem!C100</f>
        <v>6.6</v>
      </c>
      <c r="I18" s="663"/>
      <c r="J18" s="678"/>
      <c r="K18" s="653"/>
      <c r="L18" s="669"/>
      <c r="M18" s="653"/>
      <c r="N18" s="653"/>
      <c r="O18" s="256"/>
      <c r="P18" s="256"/>
      <c r="Q18" s="256"/>
      <c r="R18" s="256"/>
      <c r="S18" s="256"/>
      <c r="T18" s="256"/>
      <c r="U18" s="256"/>
      <c r="V18" s="256"/>
      <c r="W18" s="256"/>
      <c r="X18" s="256"/>
      <c r="Y18" s="256"/>
    </row>
    <row r="19" spans="2:30" ht="26" customHeight="1">
      <c r="B19" s="654"/>
      <c r="C19" s="800" t="s">
        <v>1207</v>
      </c>
      <c r="D19" s="662">
        <f>Chem!C37</f>
        <v>34</v>
      </c>
      <c r="E19" s="663"/>
      <c r="F19" s="659"/>
      <c r="G19" s="799" t="s">
        <v>11</v>
      </c>
      <c r="H19" s="664">
        <f>Chem!C101</f>
        <v>10</v>
      </c>
      <c r="I19" s="663"/>
      <c r="J19" s="678"/>
      <c r="K19" s="653"/>
      <c r="L19" s="669"/>
      <c r="M19" s="653"/>
      <c r="N19" s="653"/>
      <c r="O19" s="256"/>
      <c r="P19" s="256"/>
      <c r="Q19" s="256"/>
      <c r="R19" s="256"/>
      <c r="S19" s="256"/>
      <c r="T19" s="256"/>
      <c r="U19" s="256"/>
      <c r="V19" s="256"/>
      <c r="W19" s="256"/>
      <c r="X19" s="256"/>
      <c r="Y19" s="256"/>
    </row>
    <row r="20" spans="2:30" ht="26" customHeight="1">
      <c r="B20" s="654"/>
      <c r="C20" s="800" t="s">
        <v>1210</v>
      </c>
      <c r="D20" s="662">
        <f>Chem!C45</f>
        <v>10</v>
      </c>
      <c r="E20" s="663"/>
      <c r="F20" s="659"/>
      <c r="G20" s="799" t="str">
        <f>"Solvent (" &amp; Chem!$C$36 &amp; ")"</f>
        <v>Solvent (Water)</v>
      </c>
      <c r="H20" s="664">
        <f>Chem!C102</f>
        <v>0</v>
      </c>
      <c r="I20" s="663"/>
      <c r="J20" s="678"/>
      <c r="K20" s="653"/>
      <c r="L20" s="669"/>
      <c r="M20" s="653"/>
      <c r="N20" s="653"/>
      <c r="O20" s="256"/>
      <c r="P20" s="256"/>
      <c r="Q20" s="256"/>
      <c r="R20" s="256"/>
      <c r="S20" s="256"/>
      <c r="T20" s="256"/>
      <c r="U20" s="256"/>
      <c r="V20" s="256"/>
      <c r="W20" s="256"/>
      <c r="X20" s="256"/>
      <c r="Y20" s="256"/>
    </row>
    <row r="21" spans="2:30" ht="26" customHeight="1">
      <c r="B21" s="654"/>
      <c r="C21" s="661"/>
      <c r="D21" s="667"/>
      <c r="E21" s="667"/>
      <c r="F21" s="659"/>
      <c r="G21" s="801"/>
      <c r="H21" s="665"/>
      <c r="I21" s="665"/>
      <c r="J21" s="678"/>
      <c r="K21" s="653"/>
      <c r="L21" s="669"/>
      <c r="M21" s="653"/>
      <c r="N21" s="653"/>
      <c r="O21" s="256"/>
      <c r="P21" s="256"/>
      <c r="Q21" s="256"/>
      <c r="R21" s="256"/>
      <c r="S21" s="256"/>
      <c r="T21" s="256"/>
      <c r="U21" s="256"/>
      <c r="V21" s="256"/>
      <c r="W21" s="256"/>
      <c r="X21" s="256"/>
      <c r="Y21" s="256"/>
    </row>
    <row r="22" spans="2:30" ht="26" customHeight="1">
      <c r="B22" s="654"/>
      <c r="C22" s="661" t="s">
        <v>1211</v>
      </c>
      <c r="D22" s="662">
        <f>Chem!C49</f>
        <v>20</v>
      </c>
      <c r="E22" s="656">
        <v>20</v>
      </c>
      <c r="F22" s="659"/>
      <c r="G22" s="799" t="str">
        <f>LEFT(Chem!C23,2)&amp;" Foil, $/m²"</f>
        <v>Al Foil, $/m²</v>
      </c>
      <c r="H22" s="664">
        <f>Chem!C103</f>
        <v>0.3</v>
      </c>
      <c r="I22" s="663"/>
      <c r="J22" s="678"/>
      <c r="K22" s="653"/>
      <c r="L22" s="669"/>
      <c r="M22" s="653"/>
      <c r="N22" s="653"/>
      <c r="O22" s="256"/>
      <c r="P22" s="256"/>
      <c r="Q22" s="256"/>
      <c r="R22" s="256"/>
      <c r="S22" s="256"/>
      <c r="T22" s="256"/>
      <c r="U22" s="256"/>
      <c r="V22" s="256"/>
      <c r="W22" s="256"/>
      <c r="X22" s="256"/>
      <c r="Y22" s="256"/>
    </row>
    <row r="23" spans="2:30" ht="26" customHeight="1">
      <c r="B23" s="654"/>
      <c r="C23" s="659"/>
      <c r="D23" s="659"/>
      <c r="E23" s="659"/>
      <c r="F23" s="659"/>
      <c r="G23" s="799" t="str">
        <f>IF(Chem!C44 = "Copper", "Cu", "Al") &amp;" Foil, $/m²"</f>
        <v>Cu Foil, $/m²</v>
      </c>
      <c r="H23" s="664">
        <f>Chem!C104</f>
        <v>1.2</v>
      </c>
      <c r="I23" s="663"/>
      <c r="J23" s="678" t="s">
        <v>1560</v>
      </c>
      <c r="K23" s="653"/>
      <c r="L23" s="669"/>
      <c r="M23" s="653"/>
      <c r="N23" s="653"/>
      <c r="O23" s="256"/>
      <c r="P23" s="256"/>
      <c r="Q23" s="256"/>
      <c r="R23" s="256"/>
      <c r="S23" s="256"/>
      <c r="T23" s="256"/>
      <c r="U23" s="256"/>
      <c r="V23" s="256"/>
      <c r="W23" s="256"/>
      <c r="X23" s="256"/>
      <c r="Y23" s="256"/>
    </row>
    <row r="24" spans="2:30" ht="26" customHeight="1">
      <c r="B24" s="654"/>
      <c r="C24" s="658" t="s">
        <v>1494</v>
      </c>
      <c r="D24" s="666">
        <f>Chem!C78</f>
        <v>9</v>
      </c>
      <c r="E24" s="663"/>
      <c r="F24" s="659"/>
      <c r="G24" s="799" t="s">
        <v>1496</v>
      </c>
      <c r="H24" s="664">
        <f>Chem!C105</f>
        <v>10</v>
      </c>
      <c r="I24" s="663">
        <v>10</v>
      </c>
      <c r="J24" s="678"/>
      <c r="K24" s="653"/>
      <c r="L24" s="669"/>
      <c r="M24" s="653"/>
      <c r="N24" s="653"/>
      <c r="O24" s="256"/>
      <c r="P24" s="256"/>
      <c r="Q24" s="256"/>
      <c r="R24" s="256"/>
      <c r="S24" s="256"/>
      <c r="T24" s="256"/>
      <c r="U24" s="256"/>
      <c r="V24" s="256"/>
      <c r="W24" s="256"/>
      <c r="X24" s="256"/>
      <c r="Y24" s="256"/>
    </row>
    <row r="25" spans="2:30" ht="26" customHeight="1">
      <c r="B25" s="654"/>
      <c r="C25" s="668"/>
      <c r="D25" s="784"/>
      <c r="E25" s="668"/>
      <c r="F25" s="653"/>
      <c r="G25" s="799" t="s">
        <v>46</v>
      </c>
      <c r="H25" s="664">
        <f>Chem!C106</f>
        <v>15</v>
      </c>
      <c r="I25" s="663"/>
      <c r="J25" s="678"/>
      <c r="K25" s="653"/>
      <c r="L25" s="669"/>
      <c r="M25" s="653"/>
      <c r="N25" s="653"/>
      <c r="O25" s="256"/>
      <c r="P25" s="256"/>
      <c r="Q25" s="256"/>
      <c r="R25" s="256"/>
      <c r="S25" s="256"/>
      <c r="T25" s="256"/>
      <c r="U25" s="256"/>
      <c r="V25" s="256"/>
      <c r="W25" s="256"/>
      <c r="X25" s="256"/>
      <c r="Y25" s="256"/>
    </row>
    <row r="26" spans="2:30" ht="26" customHeight="1" thickBot="1">
      <c r="B26" s="654"/>
      <c r="C26" s="668"/>
      <c r="D26" s="668"/>
      <c r="E26" s="668"/>
      <c r="F26" s="653"/>
      <c r="G26" s="653"/>
      <c r="H26" s="653"/>
      <c r="I26" s="653"/>
      <c r="J26" s="653"/>
      <c r="K26" s="653"/>
      <c r="L26" s="669"/>
      <c r="M26" s="653"/>
      <c r="N26" s="653"/>
      <c r="O26" s="256"/>
      <c r="P26" s="256"/>
      <c r="Q26" s="256"/>
      <c r="R26" s="256"/>
      <c r="S26" s="256"/>
      <c r="T26" s="256"/>
      <c r="U26" s="256"/>
      <c r="V26" s="256"/>
      <c r="W26" s="256"/>
      <c r="X26" s="256"/>
      <c r="Y26" s="256"/>
    </row>
    <row r="27" spans="2:30" ht="54" customHeight="1">
      <c r="B27" s="670" t="s">
        <v>736</v>
      </c>
      <c r="C27" s="671"/>
      <c r="D27" s="852" t="s">
        <v>735</v>
      </c>
      <c r="E27" s="851" t="s">
        <v>957</v>
      </c>
      <c r="F27" s="653"/>
      <c r="G27" s="674"/>
      <c r="H27" s="674"/>
      <c r="I27" s="783" t="s">
        <v>170</v>
      </c>
      <c r="J27" s="674"/>
      <c r="K27" s="653"/>
      <c r="L27" s="669"/>
      <c r="M27" s="653"/>
      <c r="N27" s="653"/>
      <c r="O27" s="256"/>
      <c r="P27" s="256"/>
      <c r="Q27" s="256"/>
      <c r="R27" s="256"/>
      <c r="S27" s="256"/>
      <c r="T27" s="256"/>
      <c r="U27" s="256"/>
      <c r="V27" s="256"/>
      <c r="W27" s="256"/>
      <c r="X27" s="256"/>
      <c r="Y27" s="256"/>
    </row>
    <row r="28" spans="2:30" ht="31.5" customHeight="1">
      <c r="B28" s="654"/>
      <c r="C28" s="675" t="s">
        <v>731</v>
      </c>
      <c r="D28" s="796" t="str">
        <f>E28</f>
        <v>EV</v>
      </c>
      <c r="E28" s="797" t="s">
        <v>622</v>
      </c>
      <c r="F28" s="653"/>
      <c r="G28" s="1242" t="str">
        <f>"Useable battery energy, % of total ("  &amp;E28 &amp;")"</f>
        <v>Useable battery energy, % of total (EV)</v>
      </c>
      <c r="H28" s="677">
        <f>Lists!L42</f>
        <v>85</v>
      </c>
      <c r="I28" s="663"/>
      <c r="J28" s="678"/>
      <c r="K28" s="653"/>
      <c r="L28" s="669"/>
      <c r="M28" s="653"/>
      <c r="N28" s="781"/>
      <c r="O28" s="256"/>
      <c r="P28" s="256"/>
      <c r="Q28" s="256"/>
      <c r="R28" s="256"/>
      <c r="S28" s="256"/>
      <c r="T28" s="256"/>
      <c r="U28" s="256"/>
      <c r="V28" s="256"/>
      <c r="W28" s="256"/>
      <c r="X28" s="256"/>
      <c r="Y28" s="256"/>
    </row>
    <row r="29" spans="2:30" ht="33" customHeight="1">
      <c r="B29" s="654"/>
      <c r="C29" s="675" t="s">
        <v>730</v>
      </c>
      <c r="D29" s="796" t="str">
        <f>E29</f>
        <v>EG-W</v>
      </c>
      <c r="E29" s="797" t="s">
        <v>482</v>
      </c>
      <c r="F29" s="653"/>
      <c r="G29" s="1242"/>
      <c r="H29" s="678"/>
      <c r="I29" s="678"/>
      <c r="J29" s="678"/>
      <c r="K29" s="653"/>
      <c r="L29" s="669"/>
      <c r="M29" s="653"/>
      <c r="N29"/>
      <c r="O29"/>
      <c r="P29"/>
      <c r="Q29"/>
      <c r="R29"/>
      <c r="S29"/>
      <c r="T29"/>
      <c r="U29"/>
      <c r="V29"/>
      <c r="W29"/>
      <c r="X29"/>
      <c r="Y29"/>
      <c r="Z29"/>
      <c r="AA29"/>
      <c r="AB29"/>
      <c r="AC29"/>
      <c r="AD29"/>
    </row>
    <row r="30" spans="2:30" ht="33" customHeight="1">
      <c r="B30" s="654"/>
      <c r="C30" s="675" t="s">
        <v>958</v>
      </c>
      <c r="D30" s="755" t="str">
        <f>IF(E28="EV",E30,"No")</f>
        <v>No</v>
      </c>
      <c r="E30" s="798" t="s">
        <v>740</v>
      </c>
      <c r="F30" s="785" t="str">
        <f>IF(E30="Yes", "&lt;&lt;&lt; Fast Charging only usable for EV battery.", "")</f>
        <v/>
      </c>
      <c r="G30" s="672"/>
      <c r="H30" s="672"/>
      <c r="I30" s="17"/>
      <c r="J30" s="17"/>
      <c r="K30" s="653"/>
      <c r="L30" s="669"/>
      <c r="M30" s="653"/>
      <c r="N30"/>
      <c r="O30"/>
      <c r="P30"/>
      <c r="Q30"/>
      <c r="R30"/>
      <c r="S30"/>
      <c r="T30"/>
      <c r="U30"/>
      <c r="V30"/>
      <c r="W30"/>
      <c r="X30"/>
      <c r="Y30"/>
      <c r="Z30"/>
      <c r="AA30"/>
      <c r="AB30"/>
      <c r="AC30"/>
      <c r="AD30"/>
    </row>
    <row r="31" spans="2:30" ht="30" customHeight="1">
      <c r="B31" s="654"/>
      <c r="C31" s="717"/>
      <c r="D31" s="786"/>
      <c r="E31" s="786"/>
      <c r="F31" s="786"/>
      <c r="G31" s="787"/>
      <c r="H31" s="653"/>
      <c r="I31" s="653"/>
      <c r="J31" s="653"/>
      <c r="K31" s="653"/>
      <c r="L31" s="669"/>
      <c r="M31" s="653"/>
      <c r="N31"/>
      <c r="O31"/>
      <c r="P31"/>
      <c r="Q31"/>
      <c r="R31"/>
      <c r="S31"/>
      <c r="T31"/>
      <c r="U31"/>
      <c r="V31"/>
      <c r="W31"/>
      <c r="X31"/>
      <c r="Y31"/>
      <c r="Z31"/>
      <c r="AA31"/>
      <c r="AB31"/>
      <c r="AC31"/>
      <c r="AD31"/>
    </row>
    <row r="32" spans="2:30" ht="20">
      <c r="B32" s="654"/>
      <c r="C32" s="680"/>
      <c r="D32" s="778" t="s">
        <v>0</v>
      </c>
      <c r="E32" s="778" t="s">
        <v>1</v>
      </c>
      <c r="F32" s="778" t="s">
        <v>2</v>
      </c>
      <c r="G32" s="778" t="s">
        <v>3</v>
      </c>
      <c r="H32" s="778" t="s">
        <v>4</v>
      </c>
      <c r="I32" s="778" t="s">
        <v>530</v>
      </c>
      <c r="J32" s="778" t="s">
        <v>531</v>
      </c>
      <c r="K32" s="653"/>
      <c r="L32" s="669"/>
      <c r="M32" s="653"/>
      <c r="N32"/>
      <c r="O32"/>
      <c r="P32"/>
      <c r="Q32"/>
      <c r="R32"/>
      <c r="S32"/>
      <c r="T32"/>
      <c r="U32"/>
      <c r="V32"/>
      <c r="W32"/>
      <c r="X32"/>
      <c r="Y32"/>
      <c r="Z32"/>
      <c r="AA32"/>
      <c r="AB32"/>
      <c r="AC32"/>
      <c r="AD32"/>
    </row>
    <row r="33" spans="2:30" ht="30.75" customHeight="1">
      <c r="B33" s="654"/>
      <c r="C33" s="655" t="str">
        <f>"Target battery pack power at " &amp; IF(D28 = "microHEV", 50, IF(D28="HEV-HP", 80, 20)) &amp;  "% SOC, kW"</f>
        <v>Target battery pack power at 20% SOC, kW</v>
      </c>
      <c r="D33" s="683">
        <v>200</v>
      </c>
      <c r="E33" s="683">
        <v>200</v>
      </c>
      <c r="F33" s="683">
        <v>200</v>
      </c>
      <c r="G33" s="683">
        <v>200</v>
      </c>
      <c r="H33" s="683">
        <v>200</v>
      </c>
      <c r="I33" s="683">
        <v>200</v>
      </c>
      <c r="J33" s="683">
        <v>200</v>
      </c>
      <c r="K33" s="653"/>
      <c r="L33" s="669"/>
      <c r="M33" s="653"/>
      <c r="N33"/>
      <c r="O33"/>
      <c r="P33"/>
      <c r="Q33"/>
      <c r="R33"/>
      <c r="S33"/>
      <c r="T33"/>
      <c r="U33"/>
      <c r="V33"/>
      <c r="W33"/>
      <c r="X33"/>
      <c r="Y33"/>
      <c r="Z33"/>
      <c r="AA33"/>
      <c r="AB33"/>
      <c r="AC33"/>
      <c r="AD33"/>
    </row>
    <row r="34" spans="2:30" ht="24">
      <c r="B34" s="654"/>
      <c r="C34" s="681" t="s">
        <v>1523</v>
      </c>
      <c r="D34" s="682">
        <v>20</v>
      </c>
      <c r="E34" s="682">
        <v>20</v>
      </c>
      <c r="F34" s="682">
        <v>20</v>
      </c>
      <c r="G34" s="682">
        <v>20</v>
      </c>
      <c r="H34" s="682">
        <v>20</v>
      </c>
      <c r="I34" s="682">
        <v>20</v>
      </c>
      <c r="J34" s="682">
        <v>20</v>
      </c>
      <c r="K34" s="653"/>
      <c r="L34" s="669"/>
      <c r="M34" s="653"/>
      <c r="N34"/>
      <c r="O34"/>
      <c r="P34"/>
      <c r="Q34"/>
      <c r="R34"/>
      <c r="S34"/>
      <c r="T34"/>
      <c r="U34"/>
      <c r="V34"/>
      <c r="W34"/>
      <c r="X34"/>
      <c r="Y34"/>
      <c r="Z34"/>
      <c r="AA34"/>
      <c r="AB34"/>
      <c r="AC34"/>
      <c r="AD34"/>
    </row>
    <row r="35" spans="2:30" ht="24">
      <c r="B35" s="654"/>
      <c r="C35" s="681" t="s">
        <v>1522</v>
      </c>
      <c r="D35" s="682">
        <v>4</v>
      </c>
      <c r="E35" s="682">
        <v>4</v>
      </c>
      <c r="F35" s="682">
        <v>4</v>
      </c>
      <c r="G35" s="682">
        <v>4</v>
      </c>
      <c r="H35" s="682">
        <v>4</v>
      </c>
      <c r="I35" s="682">
        <v>4</v>
      </c>
      <c r="J35" s="682">
        <v>4</v>
      </c>
      <c r="K35" s="653"/>
      <c r="L35" s="669"/>
      <c r="M35" s="653"/>
      <c r="N35"/>
      <c r="O35"/>
      <c r="P35"/>
      <c r="Q35"/>
      <c r="R35"/>
      <c r="S35"/>
      <c r="T35"/>
      <c r="U35"/>
      <c r="V35"/>
      <c r="W35"/>
      <c r="X35"/>
      <c r="Y35"/>
      <c r="Z35"/>
      <c r="AA35"/>
      <c r="AB35"/>
      <c r="AC35"/>
      <c r="AD35"/>
    </row>
    <row r="36" spans="2:30" ht="24">
      <c r="B36" s="654"/>
      <c r="C36" s="681" t="s">
        <v>223</v>
      </c>
      <c r="D36" s="683">
        <v>5</v>
      </c>
      <c r="E36" s="683">
        <v>5</v>
      </c>
      <c r="F36" s="683">
        <v>5</v>
      </c>
      <c r="G36" s="683">
        <v>5</v>
      </c>
      <c r="H36" s="683">
        <v>5</v>
      </c>
      <c r="I36" s="683">
        <v>5</v>
      </c>
      <c r="J36" s="683">
        <v>5</v>
      </c>
      <c r="K36" s="653"/>
      <c r="L36" s="669"/>
      <c r="M36" s="653"/>
      <c r="N36"/>
      <c r="O36"/>
      <c r="P36"/>
      <c r="Q36"/>
      <c r="R36"/>
      <c r="S36"/>
      <c r="T36"/>
      <c r="U36"/>
      <c r="V36"/>
      <c r="W36"/>
      <c r="X36"/>
      <c r="Y36"/>
      <c r="Z36"/>
      <c r="AA36"/>
      <c r="AB36"/>
      <c r="AC36"/>
      <c r="AD36"/>
    </row>
    <row r="37" spans="2:30" ht="24">
      <c r="B37" s="654"/>
      <c r="C37" s="681" t="s">
        <v>483</v>
      </c>
      <c r="D37" s="683">
        <v>4</v>
      </c>
      <c r="E37" s="683">
        <v>4</v>
      </c>
      <c r="F37" s="683">
        <v>4</v>
      </c>
      <c r="G37" s="683">
        <v>4</v>
      </c>
      <c r="H37" s="683">
        <v>4</v>
      </c>
      <c r="I37" s="683">
        <v>4</v>
      </c>
      <c r="J37" s="683">
        <v>4</v>
      </c>
      <c r="K37" s="653"/>
      <c r="L37" s="669"/>
      <c r="M37" s="653"/>
      <c r="N37"/>
      <c r="O37"/>
      <c r="P37"/>
      <c r="Q37"/>
      <c r="R37"/>
      <c r="S37"/>
      <c r="T37"/>
      <c r="U37"/>
      <c r="V37"/>
      <c r="W37"/>
      <c r="X37"/>
      <c r="Y37"/>
      <c r="Z37"/>
      <c r="AA37"/>
      <c r="AB37"/>
      <c r="AC37"/>
      <c r="AD37"/>
    </row>
    <row r="38" spans="2:30" ht="24">
      <c r="B38" s="654"/>
      <c r="C38" s="681" t="s">
        <v>451</v>
      </c>
      <c r="D38" s="683">
        <v>1</v>
      </c>
      <c r="E38" s="683">
        <v>1</v>
      </c>
      <c r="F38" s="683">
        <v>1</v>
      </c>
      <c r="G38" s="683">
        <v>1</v>
      </c>
      <c r="H38" s="683">
        <v>1</v>
      </c>
      <c r="I38" s="683">
        <v>1</v>
      </c>
      <c r="J38" s="683">
        <v>1</v>
      </c>
      <c r="K38" s="653"/>
      <c r="L38" s="669"/>
      <c r="M38" s="653"/>
      <c r="N38"/>
      <c r="O38"/>
      <c r="P38"/>
      <c r="Q38"/>
      <c r="R38"/>
      <c r="S38"/>
      <c r="T38"/>
      <c r="U38"/>
      <c r="V38"/>
      <c r="W38"/>
      <c r="X38"/>
      <c r="Y38"/>
      <c r="Z38"/>
      <c r="AA38"/>
      <c r="AB38"/>
      <c r="AC38"/>
      <c r="AD38"/>
    </row>
    <row r="39" spans="2:30" ht="27.75" customHeight="1">
      <c r="B39" s="654"/>
      <c r="C39" s="681" t="s">
        <v>1021</v>
      </c>
      <c r="D39" s="684">
        <v>1000</v>
      </c>
      <c r="E39" s="684">
        <v>20000</v>
      </c>
      <c r="F39" s="684">
        <v>30000</v>
      </c>
      <c r="G39" s="684">
        <v>40000</v>
      </c>
      <c r="H39" s="684">
        <v>50000</v>
      </c>
      <c r="I39" s="684">
        <v>75000</v>
      </c>
      <c r="J39" s="684">
        <v>100000</v>
      </c>
      <c r="K39" s="653"/>
      <c r="L39" s="669"/>
      <c r="M39" s="653"/>
      <c r="N39"/>
      <c r="O39"/>
      <c r="P39"/>
      <c r="Q39"/>
      <c r="R39"/>
      <c r="S39"/>
      <c r="T39"/>
      <c r="U39"/>
      <c r="V39"/>
      <c r="W39"/>
      <c r="X39"/>
      <c r="Y39"/>
      <c r="Z39"/>
      <c r="AA39"/>
      <c r="AB39"/>
      <c r="AC39"/>
      <c r="AD39"/>
    </row>
    <row r="40" spans="2:30" ht="26.25" customHeight="1">
      <c r="B40" s="654"/>
      <c r="C40" s="681" t="s">
        <v>1012</v>
      </c>
      <c r="D40" s="683">
        <v>250</v>
      </c>
      <c r="E40" s="683">
        <v>250</v>
      </c>
      <c r="F40" s="683">
        <v>250</v>
      </c>
      <c r="G40" s="683">
        <v>250</v>
      </c>
      <c r="H40" s="683">
        <v>250</v>
      </c>
      <c r="I40" s="683">
        <v>250</v>
      </c>
      <c r="J40" s="683">
        <v>250</v>
      </c>
      <c r="K40" s="653"/>
      <c r="L40" s="669"/>
      <c r="M40" s="653"/>
      <c r="N40"/>
      <c r="O40"/>
      <c r="P40"/>
      <c r="Q40"/>
      <c r="R40"/>
      <c r="S40"/>
      <c r="T40"/>
      <c r="U40"/>
      <c r="V40"/>
      <c r="W40"/>
      <c r="X40"/>
      <c r="Y40"/>
      <c r="Z40"/>
      <c r="AA40"/>
      <c r="AB40"/>
      <c r="AC40"/>
      <c r="AD40"/>
    </row>
    <row r="41" spans="2:30" ht="23">
      <c r="B41" s="654"/>
      <c r="C41" s="685" t="str">
        <f>IF(OR(E28="EV", E28="PHEV"), "Select capacity, energy, or vehicle range, but only one.",  "Select either capacity or energy.")</f>
        <v>Select capacity, energy, or vehicle range, but only one.</v>
      </c>
      <c r="D41" s="758"/>
      <c r="E41" s="758"/>
      <c r="F41" s="758"/>
      <c r="G41" s="758"/>
      <c r="H41" s="758"/>
      <c r="I41" s="758"/>
      <c r="J41" s="779"/>
      <c r="K41" s="653"/>
      <c r="L41" s="669"/>
      <c r="M41" s="653"/>
      <c r="N41"/>
      <c r="O41"/>
      <c r="P41"/>
      <c r="Q41"/>
      <c r="R41"/>
      <c r="S41"/>
      <c r="T41"/>
      <c r="U41"/>
      <c r="V41"/>
      <c r="W41"/>
      <c r="X41"/>
      <c r="Y41"/>
      <c r="Z41"/>
      <c r="AA41"/>
      <c r="AB41"/>
      <c r="AC41"/>
      <c r="AD41"/>
    </row>
    <row r="42" spans="2:30" ht="24">
      <c r="B42" s="654"/>
      <c r="C42" s="655" t="s">
        <v>507</v>
      </c>
      <c r="D42" s="683"/>
      <c r="E42" s="683"/>
      <c r="F42" s="683"/>
      <c r="G42" s="683"/>
      <c r="H42" s="683"/>
      <c r="I42" s="683"/>
      <c r="J42" s="683"/>
      <c r="K42" s="653"/>
      <c r="L42" s="669"/>
      <c r="M42" s="653"/>
      <c r="N42"/>
      <c r="O42"/>
      <c r="P42"/>
      <c r="Q42"/>
      <c r="R42"/>
      <c r="S42"/>
      <c r="T42"/>
      <c r="U42"/>
      <c r="V42"/>
      <c r="W42"/>
      <c r="X42"/>
      <c r="Y42"/>
      <c r="Z42"/>
      <c r="AA42"/>
      <c r="AB42"/>
      <c r="AC42"/>
      <c r="AD42"/>
    </row>
    <row r="43" spans="2:30" ht="24">
      <c r="B43" s="654"/>
      <c r="C43" s="655" t="s">
        <v>508</v>
      </c>
      <c r="D43" s="686">
        <v>100</v>
      </c>
      <c r="E43" s="686">
        <v>100</v>
      </c>
      <c r="F43" s="686">
        <v>100</v>
      </c>
      <c r="G43" s="686">
        <v>100</v>
      </c>
      <c r="H43" s="686">
        <v>100</v>
      </c>
      <c r="I43" s="686">
        <v>100</v>
      </c>
      <c r="J43" s="686">
        <v>100</v>
      </c>
      <c r="K43" s="653"/>
      <c r="L43" s="669"/>
      <c r="M43" s="653"/>
      <c r="N43"/>
      <c r="O43"/>
      <c r="P43"/>
      <c r="Q43"/>
      <c r="R43"/>
      <c r="S43"/>
      <c r="T43"/>
      <c r="U43"/>
      <c r="V43"/>
      <c r="W43"/>
      <c r="X43"/>
      <c r="Y43"/>
      <c r="Z43"/>
      <c r="AA43"/>
      <c r="AB43"/>
      <c r="AC43"/>
      <c r="AD43"/>
    </row>
    <row r="44" spans="2:30" ht="24">
      <c r="B44" s="654"/>
      <c r="C44" s="655" t="s">
        <v>261</v>
      </c>
      <c r="D44" s="683"/>
      <c r="E44" s="683"/>
      <c r="F44" s="683"/>
      <c r="G44" s="683"/>
      <c r="H44" s="683"/>
      <c r="I44" s="683"/>
      <c r="J44" s="683"/>
      <c r="K44" s="653"/>
      <c r="L44" s="669"/>
      <c r="M44" s="653"/>
      <c r="N44"/>
      <c r="O44"/>
      <c r="P44"/>
      <c r="Q44"/>
      <c r="R44"/>
      <c r="S44"/>
      <c r="T44"/>
      <c r="U44"/>
      <c r="V44"/>
      <c r="W44"/>
      <c r="X44"/>
      <c r="Y44"/>
      <c r="Z44"/>
      <c r="AA44"/>
      <c r="AB44"/>
      <c r="AC44"/>
      <c r="AD44"/>
    </row>
    <row r="45" spans="2:30" ht="26.25" customHeight="1">
      <c r="B45" s="687" t="s">
        <v>737</v>
      </c>
      <c r="C45" s="688"/>
      <c r="D45" s="667"/>
      <c r="E45" s="667"/>
      <c r="F45" s="667"/>
      <c r="G45" s="667"/>
      <c r="H45" s="667"/>
      <c r="I45" s="667"/>
      <c r="J45" s="667"/>
      <c r="K45" s="653"/>
      <c r="L45" s="669"/>
      <c r="M45" s="653"/>
      <c r="N45"/>
      <c r="O45"/>
      <c r="P45"/>
      <c r="Q45"/>
      <c r="R45"/>
      <c r="S45"/>
      <c r="T45"/>
      <c r="U45"/>
      <c r="V45"/>
      <c r="W45"/>
      <c r="X45"/>
      <c r="Y45"/>
      <c r="Z45"/>
      <c r="AA45"/>
      <c r="AB45"/>
      <c r="AC45"/>
      <c r="AD45"/>
    </row>
    <row r="46" spans="2:30" ht="24">
      <c r="B46" s="689"/>
      <c r="C46" s="681" t="s">
        <v>1013</v>
      </c>
      <c r="D46" s="735">
        <v>10</v>
      </c>
      <c r="E46" s="735">
        <v>15</v>
      </c>
      <c r="F46" s="735">
        <v>20</v>
      </c>
      <c r="G46" s="735">
        <v>25</v>
      </c>
      <c r="H46" s="735">
        <v>30</v>
      </c>
      <c r="I46" s="735">
        <v>35</v>
      </c>
      <c r="J46" s="735">
        <v>40</v>
      </c>
      <c r="K46" s="653"/>
      <c r="L46" s="669"/>
      <c r="M46" s="653"/>
      <c r="N46"/>
      <c r="O46"/>
      <c r="P46"/>
      <c r="Q46"/>
      <c r="R46"/>
      <c r="S46"/>
      <c r="T46"/>
      <c r="U46"/>
      <c r="V46"/>
      <c r="W46"/>
      <c r="X46"/>
      <c r="Y46"/>
      <c r="Z46"/>
      <c r="AA46"/>
      <c r="AB46"/>
      <c r="AC46"/>
      <c r="AD46"/>
    </row>
    <row r="47" spans="2:30" ht="24">
      <c r="B47" s="654"/>
      <c r="C47" s="681" t="s">
        <v>1205</v>
      </c>
      <c r="D47" s="736"/>
      <c r="E47" s="736"/>
      <c r="F47" s="736"/>
      <c r="G47" s="736"/>
      <c r="H47" s="736"/>
      <c r="I47" s="736"/>
      <c r="J47" s="736"/>
      <c r="K47" s="653"/>
      <c r="L47" s="669"/>
      <c r="M47" s="653"/>
      <c r="N47"/>
      <c r="O47"/>
      <c r="P47"/>
      <c r="Q47"/>
      <c r="R47"/>
      <c r="S47"/>
      <c r="T47"/>
      <c r="U47"/>
      <c r="V47"/>
      <c r="W47"/>
      <c r="X47"/>
      <c r="Y47"/>
      <c r="Z47"/>
      <c r="AA47"/>
      <c r="AB47"/>
      <c r="AC47"/>
      <c r="AD47"/>
    </row>
    <row r="48" spans="2:30" ht="20">
      <c r="B48" s="654"/>
      <c r="C48" s="752" t="str">
        <f>IF(SUM(D47:J47) = 0, "", "By overriding the thickness, it is possible that design parameters may not be met, such as Pack Power or Vehicle range")</f>
        <v/>
      </c>
      <c r="D48" s="678"/>
      <c r="E48" s="678"/>
      <c r="F48" s="678"/>
      <c r="G48" s="678"/>
      <c r="H48" s="678"/>
      <c r="I48" s="678"/>
      <c r="J48" s="678"/>
      <c r="K48" s="653"/>
      <c r="L48" s="669"/>
      <c r="M48" s="653"/>
      <c r="N48"/>
      <c r="O48"/>
      <c r="P48"/>
      <c r="Q48"/>
      <c r="R48"/>
      <c r="S48"/>
      <c r="T48"/>
      <c r="U48"/>
      <c r="V48"/>
      <c r="W48"/>
      <c r="X48"/>
      <c r="Y48"/>
      <c r="Z48"/>
      <c r="AA48"/>
      <c r="AB48"/>
      <c r="AC48"/>
      <c r="AD48"/>
    </row>
    <row r="49" spans="1:30" ht="17" thickBot="1">
      <c r="B49" s="690"/>
      <c r="C49" s="679"/>
      <c r="D49" s="679"/>
      <c r="E49" s="679"/>
      <c r="F49" s="679"/>
      <c r="G49" s="679"/>
      <c r="H49" s="679"/>
      <c r="I49" s="679"/>
      <c r="J49" s="679"/>
      <c r="K49" s="679"/>
      <c r="L49" s="691"/>
      <c r="M49" s="678"/>
      <c r="N49"/>
      <c r="O49"/>
      <c r="P49"/>
      <c r="Q49"/>
      <c r="R49"/>
      <c r="S49"/>
      <c r="T49"/>
      <c r="U49"/>
      <c r="V49"/>
      <c r="W49"/>
      <c r="X49"/>
      <c r="Y49"/>
      <c r="Z49"/>
      <c r="AA49"/>
      <c r="AB49"/>
      <c r="AC49"/>
      <c r="AD49"/>
    </row>
    <row r="50" spans="1:30">
      <c r="A50" s="17"/>
      <c r="B50" s="678"/>
      <c r="C50" s="773"/>
      <c r="D50" s="678">
        <f>D43*D39/1000000</f>
        <v>0.1</v>
      </c>
      <c r="E50" s="678">
        <f t="shared" ref="E50:J50" si="0">E43*E39/1000000</f>
        <v>2</v>
      </c>
      <c r="F50" s="678">
        <f t="shared" si="0"/>
        <v>3</v>
      </c>
      <c r="G50" s="678">
        <f t="shared" si="0"/>
        <v>4</v>
      </c>
      <c r="H50" s="678">
        <f t="shared" si="0"/>
        <v>5</v>
      </c>
      <c r="I50" s="678">
        <f t="shared" si="0"/>
        <v>7.5</v>
      </c>
      <c r="J50" s="678">
        <f t="shared" si="0"/>
        <v>10</v>
      </c>
      <c r="K50" s="678"/>
      <c r="L50" s="678"/>
      <c r="M50" s="678"/>
      <c r="N50" s="678"/>
      <c r="O50" s="256"/>
      <c r="P50" s="256"/>
      <c r="Q50" s="256"/>
      <c r="R50" s="256"/>
      <c r="S50" s="256"/>
      <c r="T50" s="256"/>
      <c r="U50" s="256"/>
      <c r="V50" s="256"/>
      <c r="W50" s="256"/>
      <c r="X50" s="256"/>
      <c r="Y50" s="256"/>
    </row>
    <row r="51" spans="1:30" ht="21" thickBot="1">
      <c r="A51" s="17"/>
      <c r="B51" s="678"/>
      <c r="C51" s="678"/>
      <c r="D51" s="678"/>
      <c r="E51" s="678"/>
      <c r="F51" s="678"/>
      <c r="G51" s="678"/>
      <c r="H51" s="678"/>
      <c r="I51" s="678"/>
      <c r="J51" s="678"/>
      <c r="K51" s="678"/>
      <c r="L51" s="678"/>
      <c r="O51" s="256"/>
      <c r="P51" s="256"/>
      <c r="Q51" s="737"/>
      <c r="R51" s="256"/>
      <c r="S51" s="256"/>
      <c r="T51" s="256"/>
      <c r="U51" s="256"/>
      <c r="V51" s="256"/>
      <c r="W51" s="256"/>
      <c r="X51" s="256"/>
      <c r="Y51" s="256"/>
    </row>
    <row r="52" spans="1:30" ht="15" customHeight="1">
      <c r="B52" s="1255" t="s">
        <v>954</v>
      </c>
      <c r="C52" s="1256"/>
      <c r="D52" s="1256"/>
      <c r="E52" s="1256"/>
      <c r="F52" s="1256"/>
      <c r="G52" s="1256"/>
      <c r="H52" s="1256"/>
      <c r="I52" s="1256"/>
      <c r="J52" s="1256"/>
      <c r="K52" s="1256"/>
      <c r="L52" s="1257"/>
      <c r="O52" s="256"/>
      <c r="P52" s="256"/>
      <c r="Q52" s="256"/>
      <c r="R52" s="256"/>
      <c r="S52" s="256"/>
      <c r="T52" s="256"/>
      <c r="U52" s="256"/>
      <c r="V52" s="256"/>
      <c r="W52" s="256"/>
      <c r="X52" s="256"/>
      <c r="Y52" s="256"/>
    </row>
    <row r="53" spans="1:30" ht="27" customHeight="1" thickBot="1">
      <c r="B53" s="1258"/>
      <c r="C53" s="1259"/>
      <c r="D53" s="1259"/>
      <c r="E53" s="1259"/>
      <c r="F53" s="1259"/>
      <c r="G53" s="1259"/>
      <c r="H53" s="1259"/>
      <c r="I53" s="1259"/>
      <c r="J53" s="1259"/>
      <c r="K53" s="1259"/>
      <c r="L53" s="1260"/>
      <c r="O53" s="256"/>
      <c r="P53" s="256"/>
      <c r="Q53" s="256"/>
      <c r="R53" s="256"/>
      <c r="S53" s="256"/>
      <c r="T53" s="256"/>
      <c r="U53" s="256"/>
      <c r="V53" s="256"/>
      <c r="W53" s="256"/>
      <c r="X53" s="256"/>
      <c r="Y53" s="256"/>
    </row>
    <row r="54" spans="1:30" ht="25">
      <c r="B54" s="693" t="s">
        <v>939</v>
      </c>
      <c r="C54" s="694"/>
      <c r="D54" s="695"/>
      <c r="E54" s="695"/>
      <c r="F54" s="696"/>
      <c r="G54" s="696"/>
      <c r="H54" s="696"/>
      <c r="I54" s="697"/>
      <c r="J54" s="696"/>
      <c r="K54" s="696"/>
      <c r="L54" s="652"/>
      <c r="O54" s="256"/>
      <c r="P54" s="256"/>
      <c r="Q54" s="256"/>
      <c r="R54" s="256"/>
      <c r="S54" s="256"/>
      <c r="T54" s="256"/>
      <c r="U54" s="256"/>
      <c r="V54" s="256"/>
      <c r="W54" s="256"/>
      <c r="X54" s="256"/>
      <c r="Y54" s="256"/>
    </row>
    <row r="55" spans="1:30" ht="20.25" customHeight="1">
      <c r="B55" s="698"/>
      <c r="C55" s="699"/>
      <c r="D55" s="700"/>
      <c r="E55" s="661"/>
      <c r="F55" s="678"/>
      <c r="G55" s="661"/>
      <c r="H55" s="661"/>
      <c r="I55" s="661"/>
      <c r="J55" s="678"/>
      <c r="K55" s="678"/>
      <c r="L55" s="657"/>
      <c r="O55" s="256"/>
      <c r="P55" s="256"/>
      <c r="Q55" s="256"/>
      <c r="R55" s="256"/>
      <c r="S55" s="256"/>
      <c r="T55" s="256"/>
      <c r="U55" s="256"/>
      <c r="V55" s="256"/>
      <c r="W55" s="256"/>
      <c r="X55" s="256"/>
      <c r="Y55" s="256"/>
    </row>
    <row r="56" spans="1:30" ht="25.5" customHeight="1">
      <c r="B56" s="698"/>
      <c r="C56" s="701" t="s">
        <v>262</v>
      </c>
      <c r="D56" s="676">
        <v>1</v>
      </c>
      <c r="E56" s="673" t="s">
        <v>962</v>
      </c>
      <c r="F56" s="702" t="s">
        <v>963</v>
      </c>
      <c r="G56" s="661"/>
      <c r="H56" s="661"/>
      <c r="I56" s="661"/>
      <c r="J56" s="678"/>
      <c r="K56" s="678"/>
      <c r="L56" s="657"/>
      <c r="O56" s="256"/>
      <c r="P56" s="256"/>
      <c r="Q56" s="256"/>
      <c r="R56" s="256"/>
      <c r="S56" s="256"/>
      <c r="T56" s="256"/>
      <c r="U56" s="256"/>
      <c r="V56" s="256"/>
      <c r="W56" s="256"/>
      <c r="X56" s="256"/>
      <c r="Y56" s="256"/>
    </row>
    <row r="57" spans="1:30" ht="26" customHeight="1">
      <c r="B57" s="698"/>
      <c r="C57" s="659" t="s">
        <v>1080</v>
      </c>
      <c r="D57" s="703"/>
      <c r="E57" s="661"/>
      <c r="F57" s="661"/>
      <c r="G57" s="661"/>
      <c r="H57" s="661"/>
      <c r="I57" s="661"/>
      <c r="J57" s="665"/>
      <c r="K57" s="678"/>
      <c r="L57" s="657"/>
      <c r="O57" s="256"/>
      <c r="P57" s="256"/>
      <c r="Q57" s="256"/>
      <c r="R57" s="256"/>
      <c r="S57" s="256"/>
      <c r="T57" s="256"/>
      <c r="U57" s="256"/>
      <c r="V57" s="256"/>
      <c r="W57" s="256"/>
      <c r="X57" s="256"/>
      <c r="Y57" s="256"/>
    </row>
    <row r="58" spans="1:30" ht="26" customHeight="1" thickBot="1">
      <c r="B58" s="698"/>
      <c r="C58" s="665"/>
      <c r="D58" s="704"/>
      <c r="E58" s="704"/>
      <c r="F58" s="704"/>
      <c r="G58" s="704"/>
      <c r="H58" s="704"/>
      <c r="I58" s="704"/>
      <c r="J58" s="704"/>
      <c r="K58" s="678"/>
      <c r="L58" s="657"/>
      <c r="O58" s="256"/>
      <c r="P58" s="256"/>
      <c r="Q58" s="256"/>
      <c r="R58" s="256"/>
      <c r="S58" s="256"/>
      <c r="T58" s="256"/>
      <c r="U58" s="256"/>
      <c r="V58" s="256"/>
      <c r="W58" s="256"/>
      <c r="X58" s="256"/>
      <c r="Y58" s="256"/>
    </row>
    <row r="59" spans="1:30" ht="26" customHeight="1" thickBot="1">
      <c r="B59" s="698"/>
      <c r="C59" s="665"/>
      <c r="D59" s="705" t="s">
        <v>0</v>
      </c>
      <c r="E59" s="706" t="s">
        <v>1</v>
      </c>
      <c r="F59" s="706" t="s">
        <v>2</v>
      </c>
      <c r="G59" s="706" t="s">
        <v>3</v>
      </c>
      <c r="H59" s="706" t="s">
        <v>4</v>
      </c>
      <c r="I59" s="706" t="s">
        <v>530</v>
      </c>
      <c r="J59" s="707" t="s">
        <v>531</v>
      </c>
      <c r="K59" s="678"/>
      <c r="L59" s="657"/>
      <c r="O59" s="256"/>
      <c r="P59" s="256"/>
      <c r="Q59" s="256"/>
      <c r="R59" s="256"/>
      <c r="S59" s="256"/>
      <c r="T59" s="256"/>
      <c r="U59" s="256"/>
      <c r="V59" s="256"/>
      <c r="W59" s="256"/>
      <c r="X59" s="256"/>
      <c r="Y59" s="256"/>
    </row>
    <row r="60" spans="1:30" ht="26" customHeight="1">
      <c r="B60" s="698"/>
      <c r="C60" s="708" t="s">
        <v>752</v>
      </c>
      <c r="D60" s="709" t="str">
        <f ca="1">IF('Battery Design'!G80="X","Too High!","Acceptable")</f>
        <v>Acceptable</v>
      </c>
      <c r="E60" s="709" t="str">
        <f ca="1">IF('Battery Design'!H80="X","Too High!","Acceptable")</f>
        <v>Acceptable</v>
      </c>
      <c r="F60" s="709" t="str">
        <f ca="1">IF('Battery Design'!I80="X","Too High!","Acceptable")</f>
        <v>Acceptable</v>
      </c>
      <c r="G60" s="709" t="str">
        <f ca="1">IF('Battery Design'!J80="X","Too High!","Acceptable")</f>
        <v>Acceptable</v>
      </c>
      <c r="H60" s="709" t="str">
        <f ca="1">IF('Battery Design'!K80="X","Too High!","Acceptable")</f>
        <v>Acceptable</v>
      </c>
      <c r="I60" s="709" t="str">
        <f ca="1">IF('Battery Design'!L80="X","Too High!","Acceptable")</f>
        <v>Acceptable</v>
      </c>
      <c r="J60" s="709" t="str">
        <f ca="1">IF('Battery Design'!M80="X","Too High!","Acceptable")</f>
        <v>Acceptable</v>
      </c>
      <c r="K60" s="773"/>
      <c r="L60" s="774"/>
      <c r="M60" s="692"/>
      <c r="N60" s="692"/>
      <c r="O60" s="808"/>
      <c r="P60" s="256"/>
      <c r="Q60" s="256"/>
      <c r="R60" s="256"/>
      <c r="S60" s="256"/>
      <c r="T60" s="256"/>
      <c r="U60" s="256"/>
      <c r="V60" s="256"/>
      <c r="W60" s="256"/>
      <c r="X60" s="256"/>
      <c r="Y60" s="256"/>
    </row>
    <row r="61" spans="1:30" ht="26" customHeight="1">
      <c r="B61" s="698"/>
      <c r="C61" s="710" t="s">
        <v>1199</v>
      </c>
      <c r="D61" s="229" t="str">
        <f ca="1">Thermal!G40</f>
        <v>Excellent</v>
      </c>
      <c r="E61" s="229" t="str">
        <f ca="1">Thermal!H40</f>
        <v>Excellent</v>
      </c>
      <c r="F61" s="229" t="str">
        <f ca="1">Thermal!I40</f>
        <v>Excellent</v>
      </c>
      <c r="G61" s="229" t="str">
        <f ca="1">Thermal!J40</f>
        <v>Excellent</v>
      </c>
      <c r="H61" s="229" t="str">
        <f ca="1">Thermal!K40</f>
        <v>Excellent</v>
      </c>
      <c r="I61" s="229" t="str">
        <f ca="1">Thermal!L40</f>
        <v>Excellent</v>
      </c>
      <c r="J61" s="229" t="str">
        <f ca="1">Thermal!M40</f>
        <v>Excellent</v>
      </c>
      <c r="K61" s="678"/>
      <c r="L61" s="657"/>
      <c r="O61" s="256"/>
      <c r="P61" s="256"/>
      <c r="Q61" s="256"/>
      <c r="R61" s="256"/>
      <c r="S61" s="256"/>
      <c r="T61" s="256"/>
      <c r="U61" s="256"/>
      <c r="V61" s="256"/>
      <c r="W61" s="256"/>
      <c r="X61" s="256"/>
      <c r="Y61" s="256"/>
    </row>
    <row r="62" spans="1:30" ht="26" customHeight="1">
      <c r="B62" s="698"/>
      <c r="C62" s="710" t="s">
        <v>1200</v>
      </c>
      <c r="D62" s="229" t="str">
        <f ca="1">'EV Charging'!G23</f>
        <v>Discharge</v>
      </c>
      <c r="E62" s="229" t="str">
        <f ca="1">'EV Charging'!H23</f>
        <v>Discharge</v>
      </c>
      <c r="F62" s="229" t="str">
        <f ca="1">'EV Charging'!I23</f>
        <v>Discharge</v>
      </c>
      <c r="G62" s="229" t="str">
        <f ca="1">'EV Charging'!J23</f>
        <v>Discharge</v>
      </c>
      <c r="H62" s="229" t="str">
        <f ca="1">'EV Charging'!K23</f>
        <v>Discharge</v>
      </c>
      <c r="I62" s="229" t="str">
        <f ca="1">'EV Charging'!L23</f>
        <v>Discharge</v>
      </c>
      <c r="J62" s="229" t="str">
        <f ca="1">'EV Charging'!M23</f>
        <v>Discharge</v>
      </c>
      <c r="K62" s="678"/>
      <c r="L62" s="657"/>
      <c r="O62" s="256"/>
      <c r="P62" s="256"/>
      <c r="Q62" s="256"/>
      <c r="R62" s="256"/>
      <c r="S62" s="256"/>
      <c r="T62" s="256"/>
      <c r="U62" s="256"/>
      <c r="V62" s="256"/>
      <c r="W62" s="256"/>
      <c r="X62" s="256"/>
      <c r="Y62" s="256"/>
    </row>
    <row r="63" spans="1:30" ht="26" customHeight="1">
      <c r="B63" s="698"/>
      <c r="C63" s="711" t="s">
        <v>1201</v>
      </c>
      <c r="D63" s="712" t="str">
        <f ca="1">IF(OR('Battery Design'!G88&gt;Chem!$C76,MIN('Battery Design'!G104,'Battery Design'!G105)&lt;Chem!$C20),"No","Yes")</f>
        <v>Yes</v>
      </c>
      <c r="E63" s="712" t="str">
        <f ca="1">IF(OR('Battery Design'!H88&gt;Chem!$C76,MIN('Battery Design'!H104,'Battery Design'!H105)&lt;Chem!$C20),"No","Yes")</f>
        <v>Yes</v>
      </c>
      <c r="F63" s="712" t="str">
        <f ca="1">IF(OR('Battery Design'!I88&gt;Chem!$C76,MIN('Battery Design'!I104,'Battery Design'!I105)&lt;Chem!$C20),"No","Yes")</f>
        <v>Yes</v>
      </c>
      <c r="G63" s="712" t="str">
        <f ca="1">IF(OR('Battery Design'!J88&gt;Chem!$C76,MIN('Battery Design'!J104,'Battery Design'!J105)&lt;Chem!$C20),"No","Yes")</f>
        <v>Yes</v>
      </c>
      <c r="H63" s="712" t="str">
        <f ca="1">IF(OR('Battery Design'!K88&gt;Chem!$C76,MIN('Battery Design'!K104,'Battery Design'!K105)&lt;Chem!$C20),"No","Yes")</f>
        <v>Yes</v>
      </c>
      <c r="I63" s="712" t="str">
        <f ca="1">IF(OR('Battery Design'!L88&gt;Chem!$C76,MIN('Battery Design'!L104,'Battery Design'!L105)&lt;Chem!$C20),"No","Yes")</f>
        <v>Yes</v>
      </c>
      <c r="J63" s="712" t="str">
        <f ca="1">IF(OR('Battery Design'!M88&gt;Chem!$C76,MIN('Battery Design'!M104,'Battery Design'!M105)&lt;Chem!$C20),"No","Yes")</f>
        <v>Yes</v>
      </c>
      <c r="K63" s="678"/>
      <c r="L63" s="657"/>
      <c r="O63" s="256"/>
      <c r="P63" s="256"/>
      <c r="Q63" s="256"/>
      <c r="R63" s="256"/>
      <c r="S63" s="256"/>
      <c r="T63" s="256"/>
      <c r="U63" s="256"/>
      <c r="V63" s="256"/>
      <c r="W63" s="256"/>
      <c r="X63" s="256"/>
      <c r="Y63" s="256"/>
    </row>
    <row r="64" spans="1:30" s="715" customFormat="1" ht="26" customHeight="1">
      <c r="A64" s="171"/>
      <c r="B64" s="698"/>
      <c r="C64" s="713" t="s">
        <v>1202</v>
      </c>
      <c r="D64" s="714" t="str">
        <f ca="1">IF(D63="No", 'Summary of Results'!G40, "")</f>
        <v/>
      </c>
      <c r="E64" s="714" t="str">
        <f ca="1">IF(E63="No", 'Summary of Results'!H40, "")</f>
        <v/>
      </c>
      <c r="F64" s="714" t="str">
        <f ca="1">IF(F63="No", 'Summary of Results'!I40, "")</f>
        <v/>
      </c>
      <c r="G64" s="714" t="str">
        <f ca="1">IF(G63="No", 'Summary of Results'!J40, "")</f>
        <v/>
      </c>
      <c r="H64" s="714" t="str">
        <f ca="1">IF(H63="No", 'Summary of Results'!K40, "")</f>
        <v/>
      </c>
      <c r="I64" s="714" t="str">
        <f ca="1">IF(I63="No", 'Summary of Results'!L40, "")</f>
        <v/>
      </c>
      <c r="J64" s="714" t="str">
        <f ca="1">IF(J63="No", 'Summary of Results'!M40, "")</f>
        <v/>
      </c>
      <c r="K64" s="775"/>
      <c r="L64" s="776"/>
      <c r="O64" s="256"/>
      <c r="P64" s="256"/>
      <c r="Q64" s="256"/>
      <c r="R64" s="256"/>
      <c r="S64" s="256"/>
      <c r="T64" s="256"/>
      <c r="U64" s="256"/>
      <c r="V64" s="256"/>
      <c r="W64" s="256"/>
      <c r="X64" s="256"/>
      <c r="Y64" s="256"/>
    </row>
    <row r="65" spans="2:25" ht="26" customHeight="1">
      <c r="B65" s="698"/>
      <c r="C65" s="716" t="s">
        <v>1203</v>
      </c>
      <c r="D65" s="717" t="str">
        <f>IF($D$30="No", "", IF(D46 = "", "", IF('EV Charging'!G31&gt;D46,"No","Yes")))</f>
        <v/>
      </c>
      <c r="E65" s="717" t="str">
        <f>IF($D$30="No", "", IF(E46 = "", "", IF('EV Charging'!H31&gt;E46,"No","Yes")))</f>
        <v/>
      </c>
      <c r="F65" s="717" t="str">
        <f>IF($D$30="No", "", IF(F46 = "", "", IF('EV Charging'!I31&gt;F46,"No","Yes")))</f>
        <v/>
      </c>
      <c r="G65" s="717" t="str">
        <f>IF($D$30="No", "", IF(G46 = "", "", IF('EV Charging'!J31&gt;G46,"No","Yes")))</f>
        <v/>
      </c>
      <c r="H65" s="717" t="str">
        <f>IF($D$30="No", "", IF(H46 = "", "", IF('EV Charging'!K31&gt;H46,"No","Yes")))</f>
        <v/>
      </c>
      <c r="I65" s="717" t="str">
        <f>IF($D$30="No", "", IF(I46 = "", "", IF('EV Charging'!L31&gt;I46,"No","Yes")))</f>
        <v/>
      </c>
      <c r="J65" s="717" t="str">
        <f>IF($D$30="No", "", IF(J46 = "", "", IF('EV Charging'!M31&gt;J46,"No","Yes")))</f>
        <v/>
      </c>
      <c r="K65" s="678"/>
      <c r="L65" s="657"/>
      <c r="O65" s="256"/>
      <c r="P65" s="256"/>
      <c r="Q65" s="256"/>
      <c r="R65" s="256"/>
      <c r="S65" s="256"/>
      <c r="T65" s="256"/>
      <c r="U65" s="256"/>
      <c r="V65" s="256"/>
      <c r="W65" s="256"/>
      <c r="X65" s="256"/>
      <c r="Y65" s="256"/>
    </row>
    <row r="66" spans="2:25" ht="26" customHeight="1">
      <c r="B66" s="698"/>
      <c r="C66" s="718" t="s">
        <v>1204</v>
      </c>
      <c r="D66" s="667" t="str">
        <f>IF(D65="No", 'EV Charging'!G31, "")</f>
        <v/>
      </c>
      <c r="E66" s="667" t="str">
        <f>IF(E65="No", 'EV Charging'!H31, "")</f>
        <v/>
      </c>
      <c r="F66" s="667" t="str">
        <f>IF(F65="No", 'EV Charging'!I31, "")</f>
        <v/>
      </c>
      <c r="G66" s="667" t="str">
        <f>IF(G65="No", 'EV Charging'!J31, "")</f>
        <v/>
      </c>
      <c r="H66" s="667" t="str">
        <f>IF(H65="No", 'EV Charging'!K31, "")</f>
        <v/>
      </c>
      <c r="I66" s="667" t="str">
        <f>IF(I65="No", 'EV Charging'!L31, "")</f>
        <v/>
      </c>
      <c r="J66" s="667" t="str">
        <f>IF(J65="No", 'EV Charging'!M31, "")</f>
        <v/>
      </c>
      <c r="K66" s="678"/>
      <c r="L66" s="657"/>
      <c r="O66" s="768"/>
      <c r="P66" s="256"/>
      <c r="Q66" s="256"/>
      <c r="R66" s="256"/>
      <c r="S66" s="256"/>
      <c r="T66" s="256"/>
      <c r="U66" s="256"/>
      <c r="V66" s="256"/>
      <c r="W66" s="256"/>
      <c r="X66" s="256"/>
      <c r="Y66" s="256"/>
    </row>
    <row r="67" spans="2:25" ht="24">
      <c r="B67" s="698"/>
      <c r="C67" s="716" t="s">
        <v>1521</v>
      </c>
      <c r="D67" s="1235">
        <f>'Battery Design'!G60</f>
        <v>328.2</v>
      </c>
      <c r="E67" s="1235">
        <f>'Battery Design'!H60</f>
        <v>328.2</v>
      </c>
      <c r="F67" s="1235">
        <f>'Battery Design'!I60</f>
        <v>328.2</v>
      </c>
      <c r="G67" s="1235">
        <f>'Battery Design'!J60</f>
        <v>328.2</v>
      </c>
      <c r="H67" s="1235">
        <f>'Battery Design'!K60</f>
        <v>328.2</v>
      </c>
      <c r="I67" s="1235">
        <f>'Battery Design'!L60</f>
        <v>328.2</v>
      </c>
      <c r="J67" s="1235">
        <f>'Battery Design'!M60</f>
        <v>328.2</v>
      </c>
      <c r="K67" s="678"/>
      <c r="L67" s="657"/>
      <c r="O67" s="768"/>
      <c r="P67" s="256"/>
      <c r="Q67" s="256"/>
      <c r="R67" s="256"/>
      <c r="S67" s="256"/>
      <c r="T67" s="256"/>
      <c r="U67" s="256"/>
      <c r="V67" s="256"/>
      <c r="W67" s="256"/>
      <c r="X67" s="256"/>
      <c r="Y67" s="256"/>
    </row>
    <row r="68" spans="2:25" ht="34.5" customHeight="1">
      <c r="B68" s="698"/>
      <c r="C68" s="699"/>
      <c r="D68" s="1234"/>
      <c r="E68" s="1234"/>
      <c r="F68" s="1234"/>
      <c r="G68" s="1234"/>
      <c r="H68" s="1234"/>
      <c r="I68" s="1234"/>
      <c r="J68" s="1234"/>
      <c r="K68" s="678"/>
      <c r="L68" s="657"/>
      <c r="O68" s="256"/>
      <c r="P68" s="256"/>
      <c r="Q68" s="256"/>
      <c r="R68" s="256"/>
      <c r="S68" s="256"/>
      <c r="T68" s="256"/>
      <c r="U68" s="256"/>
      <c r="V68" s="256"/>
      <c r="W68" s="256"/>
      <c r="X68" s="256"/>
      <c r="Y68" s="256"/>
    </row>
    <row r="69" spans="2:25" ht="17.25" customHeight="1">
      <c r="B69" s="698"/>
      <c r="C69" s="699"/>
      <c r="D69" s="700"/>
      <c r="E69" s="700"/>
      <c r="F69" s="678"/>
      <c r="G69" s="678"/>
      <c r="H69" s="678"/>
      <c r="I69" s="678"/>
      <c r="J69" s="678"/>
      <c r="K69" s="678"/>
      <c r="L69" s="657"/>
      <c r="O69" s="256"/>
      <c r="P69" s="256"/>
      <c r="Q69" s="256"/>
      <c r="R69" s="256"/>
      <c r="S69" s="256"/>
      <c r="T69" s="256"/>
      <c r="U69" s="256"/>
      <c r="V69" s="256"/>
      <c r="W69" s="256"/>
      <c r="X69" s="256"/>
      <c r="Y69" s="256"/>
    </row>
    <row r="70" spans="2:25" ht="12.75" customHeight="1">
      <c r="B70" s="698"/>
      <c r="C70" s="699"/>
      <c r="D70" s="719"/>
      <c r="E70" s="719"/>
      <c r="F70" s="678"/>
      <c r="G70" s="678"/>
      <c r="H70" s="678"/>
      <c r="I70" s="678"/>
      <c r="J70" s="678"/>
      <c r="K70" s="678"/>
      <c r="L70" s="657"/>
      <c r="O70" s="256"/>
      <c r="P70" s="256"/>
      <c r="Q70" s="256"/>
      <c r="R70" s="256"/>
      <c r="S70" s="256"/>
      <c r="T70" s="256"/>
      <c r="U70" s="256"/>
      <c r="V70" s="256"/>
      <c r="W70" s="256"/>
      <c r="X70" s="256"/>
      <c r="Y70" s="256"/>
    </row>
    <row r="71" spans="2:25" s="715" customFormat="1" ht="17" thickBot="1">
      <c r="B71" s="690"/>
      <c r="C71" s="720"/>
      <c r="D71" s="721"/>
      <c r="E71" s="722"/>
      <c r="F71" s="723"/>
      <c r="G71" s="679"/>
      <c r="H71" s="679"/>
      <c r="I71" s="679"/>
      <c r="J71" s="679"/>
      <c r="K71" s="722"/>
      <c r="L71" s="777"/>
      <c r="O71" s="256"/>
      <c r="P71" s="256"/>
      <c r="Q71" s="256"/>
      <c r="R71" s="256"/>
      <c r="S71" s="256"/>
      <c r="T71" s="256"/>
      <c r="U71" s="256"/>
      <c r="V71" s="256"/>
      <c r="W71" s="256"/>
      <c r="X71" s="256"/>
      <c r="Y71" s="256"/>
    </row>
    <row r="72" spans="2:25" s="715" customFormat="1">
      <c r="B72" s="14"/>
      <c r="C72" s="646"/>
      <c r="D72" s="45"/>
      <c r="E72" s="45"/>
      <c r="F72" s="14"/>
      <c r="G72" s="14"/>
      <c r="H72" s="14"/>
      <c r="I72" s="14"/>
      <c r="J72" s="14"/>
      <c r="O72" s="256"/>
      <c r="P72" s="256"/>
      <c r="Q72" s="256"/>
      <c r="R72" s="256"/>
      <c r="S72" s="256"/>
      <c r="T72" s="256"/>
      <c r="U72" s="256"/>
      <c r="V72" s="256"/>
      <c r="W72" s="256"/>
      <c r="X72" s="256"/>
      <c r="Y72" s="256"/>
    </row>
    <row r="73" spans="2:25" s="715" customFormat="1">
      <c r="B73" s="14"/>
      <c r="C73" s="646"/>
      <c r="D73" s="45"/>
      <c r="E73" s="45"/>
      <c r="F73" s="14"/>
      <c r="G73" s="14"/>
      <c r="H73" s="14"/>
      <c r="I73" s="14"/>
      <c r="J73" s="14"/>
      <c r="O73" s="256"/>
      <c r="P73" s="256"/>
      <c r="Q73" s="256"/>
      <c r="R73" s="256"/>
      <c r="S73" s="256"/>
      <c r="T73" s="256"/>
      <c r="U73" s="256"/>
      <c r="V73" s="256"/>
      <c r="W73" s="256"/>
      <c r="X73" s="256"/>
      <c r="Y73" s="256"/>
    </row>
    <row r="74" spans="2:25" s="715" customFormat="1">
      <c r="B74" s="14"/>
      <c r="C74" s="646"/>
      <c r="D74" s="45"/>
      <c r="E74" s="45"/>
      <c r="F74" s="14"/>
      <c r="G74" s="14"/>
      <c r="H74" s="14"/>
      <c r="I74" s="14"/>
      <c r="J74" s="14"/>
      <c r="O74" s="256"/>
      <c r="P74" s="256"/>
      <c r="Q74" s="256"/>
      <c r="R74" s="256"/>
      <c r="S74" s="256"/>
      <c r="T74" s="256"/>
      <c r="U74" s="256"/>
      <c r="V74" s="256"/>
      <c r="W74" s="256"/>
      <c r="X74" s="256"/>
      <c r="Y74" s="256"/>
    </row>
    <row r="75" spans="2:25" s="715" customFormat="1" ht="17" thickBot="1">
      <c r="B75" s="14"/>
      <c r="C75" s="646"/>
      <c r="D75" s="45"/>
      <c r="E75" s="45"/>
      <c r="F75" s="14"/>
      <c r="G75" s="14"/>
      <c r="H75" s="14"/>
      <c r="I75" s="14"/>
      <c r="J75" s="14"/>
      <c r="O75" s="256"/>
      <c r="P75" s="256"/>
      <c r="Q75" s="256"/>
      <c r="R75" s="256"/>
      <c r="S75" s="256"/>
      <c r="T75" s="256"/>
      <c r="U75" s="256"/>
      <c r="V75" s="256"/>
      <c r="W75" s="256"/>
      <c r="X75" s="256"/>
      <c r="Y75" s="256"/>
    </row>
    <row r="76" spans="2:25" s="715" customFormat="1" ht="26" thickBot="1">
      <c r="B76" s="724" t="s">
        <v>940</v>
      </c>
      <c r="C76" s="725"/>
      <c r="D76" s="726" t="str">
        <f>IF($C$77 ="Absolute", C78, "Change in " &amp; C78 &amp; ", %")</f>
        <v>Battery system total energy storage, kWh</v>
      </c>
      <c r="E76" s="727">
        <f t="array" aca="1" ref="E76" ca="1">SUM(IF(ISERROR(C127:C157), 0, 1)) - 1</f>
        <v>19</v>
      </c>
      <c r="F76" s="727" t="str">
        <f>IF($C$77 ="Absolute", C79, "Change in " &amp; C79 &amp; ", %")</f>
        <v>Pack total mass, kg</v>
      </c>
      <c r="G76" s="727"/>
      <c r="H76" s="727" t="str">
        <f>IF($C$77 ="Absolute", C80, "Change in " &amp; C80 &amp; ", %")</f>
        <v>Cost of cells, $/kWhUse</v>
      </c>
      <c r="I76" s="727"/>
      <c r="J76" s="728" t="str">
        <f ca="1">IFERROR(IF(AND(D60="Acceptable", D61="Excellent", D63="Yes"), "", NA()), NA())</f>
        <v/>
      </c>
      <c r="O76" s="256"/>
      <c r="P76" s="256"/>
      <c r="Q76" s="256"/>
      <c r="R76" s="256"/>
      <c r="S76" s="256"/>
      <c r="T76" s="256"/>
      <c r="U76" s="256"/>
      <c r="V76" s="256"/>
      <c r="W76" s="256"/>
      <c r="X76" s="256"/>
      <c r="Y76" s="256"/>
    </row>
    <row r="77" spans="2:25" s="715" customFormat="1" ht="26" thickBot="1">
      <c r="B77" s="729" t="s">
        <v>915</v>
      </c>
      <c r="C77" s="766" t="s">
        <v>916</v>
      </c>
      <c r="D77" s="730" t="s">
        <v>0</v>
      </c>
      <c r="E77" s="731" t="s">
        <v>1</v>
      </c>
      <c r="F77" s="731" t="s">
        <v>2</v>
      </c>
      <c r="G77" s="731" t="s">
        <v>3</v>
      </c>
      <c r="H77" s="731" t="s">
        <v>4</v>
      </c>
      <c r="I77" s="731" t="s">
        <v>530</v>
      </c>
      <c r="J77" s="732" t="s">
        <v>531</v>
      </c>
      <c r="O77" s="256"/>
      <c r="P77" s="256"/>
      <c r="Q77" s="256"/>
      <c r="R77" s="256"/>
      <c r="S77" s="256"/>
      <c r="T77" s="256"/>
      <c r="U77" s="256"/>
      <c r="V77" s="256"/>
      <c r="W77" s="256"/>
      <c r="X77" s="256"/>
      <c r="Y77" s="256"/>
    </row>
    <row r="78" spans="2:25" s="715" customFormat="1" ht="41.25" customHeight="1" thickBot="1">
      <c r="B78" s="729" t="s">
        <v>749</v>
      </c>
      <c r="C78" s="767" t="s">
        <v>463</v>
      </c>
      <c r="D78" s="802">
        <f t="shared" ref="D78:J80" ca="1" si="1">INDEX(D$127:D$179, MATCH($C78, $C$127:$C$179, 0))</f>
        <v>99.999999999999957</v>
      </c>
      <c r="E78" s="803">
        <f t="shared" ca="1" si="1"/>
        <v>99.999999999999957</v>
      </c>
      <c r="F78" s="803">
        <f t="shared" ca="1" si="1"/>
        <v>99.999999999999957</v>
      </c>
      <c r="G78" s="803">
        <f t="shared" ca="1" si="1"/>
        <v>99.999999999999957</v>
      </c>
      <c r="H78" s="803">
        <f t="shared" ca="1" si="1"/>
        <v>99.999999999999957</v>
      </c>
      <c r="I78" s="803">
        <f t="shared" ca="1" si="1"/>
        <v>99.999999999999957</v>
      </c>
      <c r="J78" s="804">
        <f t="shared" ca="1" si="1"/>
        <v>99.999999999999957</v>
      </c>
      <c r="L78" s="765"/>
      <c r="O78" s="256"/>
      <c r="P78" s="256"/>
      <c r="Q78" s="256"/>
      <c r="R78" s="256"/>
      <c r="S78" s="256"/>
      <c r="T78" s="256"/>
      <c r="U78" s="256"/>
      <c r="V78" s="256"/>
      <c r="W78" s="256"/>
      <c r="X78" s="256"/>
      <c r="Y78" s="256"/>
    </row>
    <row r="79" spans="2:25" s="715" customFormat="1" ht="48.75" customHeight="1" thickBot="1">
      <c r="B79" s="729" t="s">
        <v>750</v>
      </c>
      <c r="C79" s="767" t="s">
        <v>1033</v>
      </c>
      <c r="D79" s="802">
        <f t="shared" ca="1" si="1"/>
        <v>544.79122628184587</v>
      </c>
      <c r="E79" s="803">
        <f t="shared" ca="1" si="1"/>
        <v>544.79122628184587</v>
      </c>
      <c r="F79" s="803">
        <f t="shared" ca="1" si="1"/>
        <v>544.79122628184587</v>
      </c>
      <c r="G79" s="803">
        <f t="shared" ca="1" si="1"/>
        <v>544.79122628184587</v>
      </c>
      <c r="H79" s="803">
        <f t="shared" ca="1" si="1"/>
        <v>544.79122628184587</v>
      </c>
      <c r="I79" s="803">
        <f t="shared" ca="1" si="1"/>
        <v>544.79122628184587</v>
      </c>
      <c r="J79" s="804">
        <f t="shared" ca="1" si="1"/>
        <v>544.79122628184587</v>
      </c>
      <c r="O79" s="256"/>
      <c r="P79" s="256"/>
      <c r="Q79" s="256"/>
      <c r="R79" s="256"/>
      <c r="S79" s="256"/>
      <c r="T79" s="256"/>
      <c r="U79" s="256"/>
      <c r="V79" s="256"/>
      <c r="W79" s="256"/>
      <c r="X79" s="256"/>
      <c r="Y79" s="256"/>
    </row>
    <row r="80" spans="2:25" s="715" customFormat="1" ht="48" customHeight="1" thickBot="1">
      <c r="B80" s="729" t="s">
        <v>751</v>
      </c>
      <c r="C80" s="767" t="s">
        <v>1028</v>
      </c>
      <c r="D80" s="805">
        <f t="shared" ca="1" si="1"/>
        <v>269.25803212038585</v>
      </c>
      <c r="E80" s="806">
        <f t="shared" ca="1" si="1"/>
        <v>184.60669059145073</v>
      </c>
      <c r="F80" s="806">
        <f t="shared" ca="1" si="1"/>
        <v>178.6486941359303</v>
      </c>
      <c r="G80" s="806">
        <f t="shared" ca="1" si="1"/>
        <v>174.87548724200394</v>
      </c>
      <c r="H80" s="806">
        <f t="shared" ca="1" si="1"/>
        <v>172.17880840245158</v>
      </c>
      <c r="I80" s="806">
        <f t="shared" ca="1" si="1"/>
        <v>167.73615526868616</v>
      </c>
      <c r="J80" s="807">
        <f t="shared" ca="1" si="1"/>
        <v>164.90273210426747</v>
      </c>
      <c r="O80" s="256"/>
      <c r="P80" s="256"/>
      <c r="Q80" s="256"/>
      <c r="R80" s="256"/>
      <c r="S80" s="256"/>
      <c r="T80" s="256"/>
      <c r="U80" s="256"/>
      <c r="V80" s="256"/>
      <c r="W80" s="256"/>
      <c r="X80" s="256"/>
      <c r="Y80" s="256"/>
    </row>
    <row r="81" spans="15:25" s="715" customFormat="1">
      <c r="O81" s="256"/>
      <c r="P81" s="256"/>
      <c r="Q81" s="256"/>
      <c r="R81" s="256"/>
      <c r="S81" s="256"/>
      <c r="T81" s="256"/>
      <c r="U81" s="256"/>
      <c r="V81" s="256"/>
      <c r="W81" s="256"/>
      <c r="X81" s="256"/>
      <c r="Y81" s="256"/>
    </row>
    <row r="82" spans="15:25" s="715" customFormat="1">
      <c r="O82" s="256"/>
      <c r="P82" s="256"/>
      <c r="Q82" s="256"/>
      <c r="R82" s="256"/>
      <c r="S82" s="256"/>
      <c r="T82" s="256"/>
      <c r="U82" s="256"/>
      <c r="V82" s="256"/>
      <c r="W82" s="256"/>
      <c r="X82" s="256"/>
      <c r="Y82" s="256"/>
    </row>
    <row r="83" spans="15:25" s="715" customFormat="1">
      <c r="O83" s="256"/>
      <c r="P83" s="256"/>
      <c r="Q83" s="256"/>
      <c r="R83" s="256"/>
      <c r="S83" s="256"/>
      <c r="T83" s="256"/>
      <c r="U83" s="256"/>
      <c r="V83" s="256"/>
      <c r="W83" s="256"/>
      <c r="X83" s="256"/>
      <c r="Y83" s="256"/>
    </row>
    <row r="84" spans="15:25" s="715" customFormat="1">
      <c r="O84" s="256"/>
      <c r="P84" s="256"/>
      <c r="Q84" s="256"/>
      <c r="R84" s="256"/>
      <c r="S84" s="256"/>
      <c r="T84" s="256"/>
      <c r="U84" s="256"/>
      <c r="V84" s="256"/>
      <c r="W84" s="256"/>
      <c r="X84" s="256"/>
      <c r="Y84" s="256"/>
    </row>
    <row r="85" spans="15:25" s="715" customFormat="1">
      <c r="O85" s="256"/>
      <c r="P85" s="256"/>
      <c r="Q85" s="256"/>
      <c r="R85" s="256"/>
      <c r="S85" s="256"/>
      <c r="T85" s="256"/>
      <c r="U85" s="256"/>
      <c r="V85" s="256"/>
      <c r="W85" s="256"/>
      <c r="X85" s="256"/>
      <c r="Y85" s="256"/>
    </row>
    <row r="86" spans="15:25" s="715" customFormat="1">
      <c r="O86" s="256"/>
      <c r="P86" s="256"/>
      <c r="Q86" s="256"/>
      <c r="R86" s="256"/>
      <c r="S86" s="256"/>
      <c r="T86" s="256"/>
      <c r="U86" s="256"/>
      <c r="V86" s="256"/>
      <c r="W86" s="256"/>
      <c r="X86" s="256"/>
      <c r="Y86" s="256"/>
    </row>
    <row r="87" spans="15:25" s="715" customFormat="1">
      <c r="O87" s="256"/>
      <c r="P87" s="256"/>
      <c r="Q87" s="256"/>
      <c r="R87" s="256"/>
      <c r="S87" s="256"/>
      <c r="T87" s="256"/>
      <c r="U87" s="256"/>
      <c r="V87" s="256"/>
      <c r="W87" s="256"/>
      <c r="X87" s="256"/>
      <c r="Y87" s="256"/>
    </row>
    <row r="88" spans="15:25" s="715" customFormat="1">
      <c r="O88" s="256"/>
      <c r="P88" s="256"/>
      <c r="Q88" s="256"/>
      <c r="R88" s="256"/>
      <c r="S88" s="256"/>
      <c r="T88" s="256"/>
      <c r="U88" s="256"/>
      <c r="V88" s="256"/>
      <c r="W88" s="256"/>
      <c r="X88" s="256"/>
      <c r="Y88" s="256"/>
    </row>
    <row r="89" spans="15:25" s="715" customFormat="1">
      <c r="O89" s="256"/>
      <c r="P89" s="256"/>
      <c r="Q89" s="256"/>
      <c r="R89" s="256"/>
      <c r="S89" s="256"/>
      <c r="T89" s="256"/>
      <c r="U89" s="256"/>
      <c r="V89" s="256"/>
      <c r="W89" s="256"/>
      <c r="X89" s="256"/>
      <c r="Y89" s="256"/>
    </row>
    <row r="90" spans="15:25" s="715" customFormat="1">
      <c r="O90" s="256"/>
      <c r="P90" s="256"/>
      <c r="Q90" s="256"/>
      <c r="R90" s="256"/>
      <c r="S90" s="256"/>
      <c r="T90" s="256"/>
      <c r="U90" s="256"/>
      <c r="V90" s="256"/>
      <c r="W90" s="256"/>
      <c r="X90" s="256"/>
      <c r="Y90" s="256"/>
    </row>
    <row r="91" spans="15:25" s="715" customFormat="1">
      <c r="O91" s="256"/>
      <c r="P91" s="256"/>
      <c r="Q91" s="256"/>
      <c r="R91" s="256"/>
      <c r="S91" s="256"/>
      <c r="T91" s="256"/>
      <c r="U91" s="256"/>
      <c r="V91" s="256"/>
      <c r="W91" s="256"/>
      <c r="X91" s="256"/>
      <c r="Y91" s="256"/>
    </row>
    <row r="92" spans="15:25" s="715" customFormat="1">
      <c r="O92" s="256"/>
      <c r="P92" s="256"/>
      <c r="Q92" s="256"/>
      <c r="R92" s="256"/>
      <c r="S92" s="256"/>
      <c r="T92" s="256"/>
      <c r="U92" s="256"/>
      <c r="V92" s="256"/>
      <c r="W92" s="256"/>
      <c r="X92" s="256"/>
      <c r="Y92" s="256"/>
    </row>
    <row r="93" spans="15:25" s="715" customFormat="1">
      <c r="O93" s="256"/>
      <c r="P93" s="256"/>
      <c r="Q93" s="256"/>
      <c r="R93" s="256"/>
      <c r="S93" s="256"/>
      <c r="T93" s="256"/>
      <c r="U93" s="256"/>
      <c r="V93" s="256"/>
      <c r="W93" s="256"/>
      <c r="X93" s="256"/>
      <c r="Y93" s="256"/>
    </row>
    <row r="94" spans="15:25" s="715" customFormat="1">
      <c r="O94" s="256"/>
      <c r="P94" s="256"/>
      <c r="Q94" s="256"/>
      <c r="R94" s="256"/>
      <c r="S94" s="256"/>
      <c r="T94" s="256"/>
      <c r="U94" s="256"/>
      <c r="V94" s="256"/>
      <c r="W94" s="256"/>
      <c r="X94" s="256"/>
      <c r="Y94" s="256"/>
    </row>
    <row r="95" spans="15:25" s="715" customFormat="1">
      <c r="O95" s="256"/>
      <c r="P95" s="256"/>
      <c r="Q95" s="256"/>
      <c r="R95" s="256"/>
      <c r="S95" s="256"/>
      <c r="T95" s="256"/>
      <c r="U95" s="256"/>
      <c r="V95" s="256"/>
      <c r="W95" s="256"/>
      <c r="X95" s="256"/>
      <c r="Y95" s="256"/>
    </row>
    <row r="96" spans="15:25" s="715" customFormat="1">
      <c r="O96" s="256"/>
      <c r="P96" s="256"/>
      <c r="Q96" s="256"/>
      <c r="R96" s="256"/>
      <c r="S96" s="256"/>
      <c r="T96" s="256"/>
      <c r="U96" s="256"/>
      <c r="V96" s="256"/>
      <c r="W96" s="256"/>
      <c r="X96" s="256"/>
      <c r="Y96" s="256"/>
    </row>
    <row r="97" spans="1:31" s="715" customFormat="1">
      <c r="O97" s="256"/>
      <c r="P97" s="256"/>
      <c r="Q97" s="256"/>
      <c r="R97" s="256"/>
      <c r="S97" s="256"/>
      <c r="T97" s="256"/>
      <c r="U97" s="256"/>
      <c r="V97" s="256"/>
      <c r="W97" s="256"/>
      <c r="X97" s="256"/>
      <c r="Y97" s="256"/>
    </row>
    <row r="98" spans="1:31" s="715" customFormat="1">
      <c r="O98" s="256"/>
      <c r="P98" s="256"/>
      <c r="Q98" s="256"/>
      <c r="R98" s="256"/>
      <c r="S98" s="256"/>
      <c r="T98" s="256"/>
      <c r="U98" s="256"/>
      <c r="V98" s="256"/>
      <c r="W98" s="256"/>
      <c r="X98" s="256"/>
      <c r="Y98" s="256"/>
      <c r="Z98" s="256"/>
    </row>
    <row r="99" spans="1:31" s="715" customFormat="1">
      <c r="O99" s="256"/>
      <c r="P99" s="256"/>
      <c r="Q99" s="256"/>
      <c r="R99" s="256"/>
      <c r="S99" s="256"/>
      <c r="T99" s="256"/>
      <c r="U99" s="256"/>
      <c r="V99" s="256"/>
      <c r="W99" s="256"/>
      <c r="X99" s="256"/>
      <c r="Y99" s="256"/>
      <c r="Z99" s="256"/>
      <c r="AA99" s="14"/>
      <c r="AB99" s="14"/>
      <c r="AC99" s="14"/>
      <c r="AD99" s="14"/>
      <c r="AE99" s="14"/>
    </row>
    <row r="100" spans="1:31">
      <c r="A100" s="14"/>
      <c r="C100" s="14"/>
      <c r="D100" s="14"/>
      <c r="E100" s="14"/>
      <c r="O100" s="256"/>
      <c r="P100" s="256"/>
      <c r="Q100" s="256"/>
      <c r="R100" s="256"/>
      <c r="S100" s="256"/>
      <c r="T100" s="256"/>
      <c r="U100" s="256"/>
      <c r="V100" s="256"/>
      <c r="W100" s="256"/>
      <c r="X100" s="256"/>
      <c r="Y100" s="256"/>
      <c r="Z100" s="256"/>
    </row>
    <row r="101" spans="1:31">
      <c r="C101" s="14"/>
      <c r="D101" s="14"/>
      <c r="E101" s="14"/>
      <c r="O101" s="256"/>
      <c r="P101" s="256"/>
      <c r="Q101" s="256"/>
      <c r="R101" s="256"/>
      <c r="S101" s="256"/>
      <c r="T101" s="256"/>
      <c r="U101" s="256"/>
      <c r="V101" s="256"/>
      <c r="W101" s="256"/>
      <c r="X101" s="256"/>
      <c r="Y101" s="256"/>
      <c r="Z101" s="256"/>
    </row>
    <row r="102" spans="1:31">
      <c r="C102" s="14"/>
      <c r="D102" s="14"/>
      <c r="E102" s="14"/>
      <c r="O102" s="256"/>
      <c r="P102" s="256"/>
      <c r="Q102" s="256"/>
      <c r="R102" s="256"/>
      <c r="S102" s="256"/>
      <c r="T102" s="256"/>
      <c r="U102" s="256"/>
      <c r="V102" s="256"/>
      <c r="W102" s="256"/>
      <c r="X102" s="256"/>
      <c r="Y102" s="256"/>
      <c r="Z102" s="256"/>
    </row>
    <row r="103" spans="1:31">
      <c r="C103" s="14"/>
      <c r="D103" s="14"/>
      <c r="E103" s="14"/>
      <c r="O103" s="256"/>
      <c r="P103" s="256"/>
      <c r="Q103" s="256"/>
      <c r="R103" s="256"/>
      <c r="S103" s="256"/>
      <c r="T103" s="256"/>
      <c r="U103" s="256"/>
      <c r="V103" s="256"/>
      <c r="W103" s="256"/>
      <c r="X103" s="256"/>
      <c r="Y103" s="256"/>
      <c r="Z103" s="256"/>
    </row>
    <row r="104" spans="1:31">
      <c r="C104" s="14"/>
      <c r="D104" s="14"/>
      <c r="E104" s="14"/>
      <c r="O104" s="256"/>
      <c r="P104" s="256"/>
      <c r="Q104" s="256"/>
      <c r="R104" s="256"/>
      <c r="S104" s="256"/>
      <c r="T104" s="256"/>
      <c r="U104" s="256"/>
      <c r="V104" s="256"/>
      <c r="W104" s="256"/>
      <c r="X104" s="256"/>
      <c r="Y104" s="256"/>
      <c r="Z104" s="256"/>
    </row>
    <row r="105" spans="1:31">
      <c r="C105" s="14"/>
      <c r="D105" s="14"/>
      <c r="E105" s="14"/>
      <c r="O105" s="256"/>
      <c r="P105" s="256"/>
      <c r="Q105" s="256"/>
      <c r="R105" s="256"/>
      <c r="S105" s="256"/>
      <c r="T105" s="256"/>
      <c r="U105" s="256"/>
      <c r="V105" s="256"/>
      <c r="W105" s="256"/>
      <c r="X105" s="256"/>
      <c r="Y105" s="256"/>
      <c r="Z105" s="256"/>
    </row>
    <row r="106" spans="1:31">
      <c r="O106" s="256"/>
      <c r="P106" s="256"/>
      <c r="Q106" s="256"/>
      <c r="R106" s="256"/>
      <c r="S106" s="256"/>
      <c r="T106" s="256"/>
      <c r="U106" s="256"/>
      <c r="V106" s="256"/>
      <c r="W106" s="256"/>
      <c r="X106" s="256"/>
      <c r="Y106" s="256"/>
    </row>
    <row r="107" spans="1:31">
      <c r="O107" s="256"/>
      <c r="P107" s="256"/>
      <c r="Q107" s="256"/>
      <c r="R107" s="256"/>
      <c r="S107" s="256"/>
      <c r="T107" s="256"/>
      <c r="U107" s="256"/>
      <c r="V107" s="256"/>
      <c r="W107" s="256"/>
      <c r="X107" s="256"/>
      <c r="Y107" s="256"/>
    </row>
    <row r="108" spans="1:31">
      <c r="O108" s="256"/>
      <c r="P108" s="256"/>
      <c r="Q108" s="256"/>
      <c r="R108" s="256"/>
      <c r="S108" s="256"/>
      <c r="T108" s="256"/>
      <c r="U108" s="256"/>
      <c r="V108" s="256"/>
      <c r="W108" s="256"/>
      <c r="X108" s="256"/>
      <c r="Y108" s="256"/>
    </row>
    <row r="109" spans="1:31">
      <c r="O109" s="256"/>
      <c r="P109" s="256"/>
      <c r="Q109" s="256"/>
      <c r="R109" s="256"/>
      <c r="S109" s="256"/>
      <c r="T109" s="256"/>
      <c r="U109" s="256"/>
      <c r="V109" s="256"/>
      <c r="W109" s="256"/>
      <c r="X109" s="256"/>
      <c r="Y109" s="256"/>
    </row>
    <row r="110" spans="1:31">
      <c r="O110" s="256"/>
      <c r="P110" s="256"/>
      <c r="Q110" s="256"/>
      <c r="R110" s="256"/>
      <c r="S110" s="256"/>
      <c r="T110" s="256"/>
      <c r="U110" s="256"/>
      <c r="V110" s="256"/>
      <c r="W110" s="256"/>
      <c r="X110" s="256"/>
      <c r="Y110" s="256"/>
    </row>
    <row r="111" spans="1:31">
      <c r="O111" s="256"/>
      <c r="P111" s="256"/>
      <c r="Q111" s="764"/>
      <c r="R111" s="256"/>
      <c r="S111" s="256"/>
      <c r="T111" s="256"/>
      <c r="U111" s="256"/>
      <c r="V111" s="256"/>
      <c r="W111" s="256"/>
      <c r="X111" s="256"/>
      <c r="Y111" s="256"/>
    </row>
    <row r="112" spans="1:31">
      <c r="O112" s="256"/>
      <c r="P112" s="256"/>
      <c r="Q112" s="256"/>
      <c r="R112" s="256"/>
      <c r="S112" s="256"/>
      <c r="T112" s="256"/>
      <c r="U112" s="256"/>
      <c r="V112" s="256"/>
      <c r="W112" s="256"/>
      <c r="X112" s="256"/>
      <c r="Y112" s="256"/>
    </row>
    <row r="113" spans="2:25">
      <c r="O113" s="256"/>
      <c r="P113" s="256"/>
      <c r="Q113" s="256"/>
      <c r="R113" s="256"/>
      <c r="S113" s="256"/>
      <c r="T113" s="256"/>
      <c r="U113" s="256"/>
      <c r="V113" s="256"/>
      <c r="W113" s="256"/>
      <c r="X113" s="256"/>
      <c r="Y113" s="256"/>
    </row>
    <row r="114" spans="2:25">
      <c r="O114" s="256"/>
      <c r="P114" s="256"/>
      <c r="Q114" s="256"/>
      <c r="R114" s="256"/>
      <c r="S114" s="256"/>
      <c r="T114" s="256"/>
      <c r="U114" s="256"/>
      <c r="V114" s="256"/>
      <c r="W114" s="256"/>
      <c r="X114" s="256"/>
      <c r="Y114" s="256"/>
    </row>
    <row r="115" spans="2:25">
      <c r="O115" s="256"/>
      <c r="P115" s="256"/>
      <c r="Q115" s="256"/>
      <c r="R115" s="256"/>
      <c r="S115" s="256"/>
      <c r="T115" s="256"/>
      <c r="U115" s="256"/>
      <c r="V115" s="256"/>
      <c r="W115" s="256"/>
      <c r="X115" s="256"/>
      <c r="Y115" s="256"/>
    </row>
    <row r="116" spans="2:25">
      <c r="O116" s="256"/>
      <c r="P116" s="256"/>
      <c r="Q116" s="256"/>
      <c r="R116" s="256"/>
      <c r="S116" s="256"/>
      <c r="T116" s="256"/>
      <c r="U116" s="256"/>
      <c r="V116" s="256"/>
      <c r="W116" s="256"/>
      <c r="X116" s="256"/>
      <c r="Y116" s="256"/>
    </row>
    <row r="117" spans="2:25">
      <c r="O117" s="256"/>
      <c r="P117" s="256"/>
      <c r="Q117" s="256"/>
      <c r="R117" s="256"/>
      <c r="S117" s="256"/>
      <c r="T117" s="256"/>
      <c r="U117" s="256"/>
      <c r="V117" s="256"/>
      <c r="W117" s="256"/>
      <c r="X117" s="256"/>
      <c r="Y117" s="256"/>
    </row>
    <row r="118" spans="2:25">
      <c r="O118" s="256"/>
      <c r="P118" s="256"/>
      <c r="Q118" s="256"/>
      <c r="R118" s="256"/>
      <c r="S118" s="256"/>
      <c r="T118" s="256"/>
      <c r="U118" s="256"/>
      <c r="V118" s="256"/>
      <c r="W118" s="256"/>
      <c r="X118" s="256"/>
      <c r="Y118" s="256"/>
    </row>
    <row r="119" spans="2:25">
      <c r="O119" s="256"/>
      <c r="P119" s="256"/>
      <c r="Q119" s="256"/>
      <c r="R119" s="256"/>
      <c r="S119" s="256"/>
      <c r="T119" s="256"/>
      <c r="U119" s="256"/>
      <c r="V119" s="256"/>
      <c r="W119" s="256"/>
      <c r="X119" s="256"/>
      <c r="Y119" s="256"/>
    </row>
    <row r="120" spans="2:25">
      <c r="O120" s="256"/>
      <c r="P120" s="256"/>
      <c r="Q120" s="256"/>
      <c r="R120" s="256"/>
      <c r="S120" s="256"/>
      <c r="T120" s="256"/>
      <c r="U120" s="256"/>
      <c r="V120" s="256"/>
      <c r="W120" s="256"/>
      <c r="X120" s="256"/>
      <c r="Y120" s="256"/>
    </row>
    <row r="121" spans="2:25">
      <c r="O121" s="256"/>
      <c r="P121" s="256"/>
      <c r="Q121" s="256"/>
      <c r="R121" s="256"/>
      <c r="S121" s="256"/>
      <c r="T121" s="256"/>
      <c r="U121" s="256"/>
      <c r="V121" s="256"/>
      <c r="W121" s="256"/>
      <c r="X121" s="256"/>
      <c r="Y121" s="256"/>
    </row>
    <row r="122" spans="2:25">
      <c r="L122"/>
      <c r="M122"/>
      <c r="N122"/>
      <c r="O122"/>
      <c r="P122"/>
      <c r="Q122" s="256"/>
      <c r="R122" s="256"/>
      <c r="S122" s="256"/>
      <c r="T122" s="256"/>
      <c r="U122" s="256"/>
      <c r="V122" s="256"/>
      <c r="W122" s="256"/>
      <c r="X122" s="256"/>
      <c r="Y122" s="256"/>
    </row>
    <row r="123" spans="2:25" ht="17" thickBot="1">
      <c r="L123"/>
      <c r="M123"/>
      <c r="N123"/>
      <c r="O123"/>
      <c r="P123"/>
      <c r="Q123" s="256"/>
      <c r="R123" s="256"/>
      <c r="S123" s="256"/>
      <c r="T123" s="256"/>
      <c r="U123" s="256"/>
      <c r="V123" s="256"/>
      <c r="W123" s="256"/>
      <c r="X123" s="256"/>
      <c r="Y123" s="256"/>
    </row>
    <row r="124" spans="2:25" ht="20">
      <c r="B124" s="1236" t="s">
        <v>1018</v>
      </c>
      <c r="C124" s="1237"/>
      <c r="D124" s="1237"/>
      <c r="E124" s="1237"/>
      <c r="F124" s="1237"/>
      <c r="G124" s="1238"/>
      <c r="H124" s="789" t="s">
        <v>959</v>
      </c>
      <c r="I124" s="790"/>
      <c r="J124" s="791"/>
      <c r="K124"/>
      <c r="L124"/>
      <c r="M124"/>
      <c r="N124"/>
      <c r="O124"/>
      <c r="P124"/>
      <c r="Q124"/>
      <c r="R124" s="256"/>
      <c r="S124" s="256"/>
      <c r="T124" s="256"/>
      <c r="U124" s="256"/>
      <c r="V124" s="256"/>
      <c r="W124" s="256"/>
      <c r="X124" s="256"/>
      <c r="Y124" s="256"/>
    </row>
    <row r="125" spans="2:25" ht="21" thickBot="1">
      <c r="B125" s="1239"/>
      <c r="C125" s="1240"/>
      <c r="D125" s="1240"/>
      <c r="E125" s="1240"/>
      <c r="F125" s="1240"/>
      <c r="G125" s="1241"/>
      <c r="H125" s="792" t="s">
        <v>960</v>
      </c>
      <c r="I125" s="793"/>
      <c r="J125" s="794"/>
      <c r="K125"/>
      <c r="L125"/>
      <c r="M125"/>
      <c r="N125"/>
      <c r="O125"/>
      <c r="P125"/>
      <c r="Q125"/>
      <c r="R125" s="256"/>
      <c r="S125" s="256"/>
      <c r="T125" s="256"/>
      <c r="U125" s="256"/>
      <c r="V125" s="256"/>
      <c r="W125" s="256"/>
      <c r="X125" s="256"/>
      <c r="Y125" s="256"/>
    </row>
    <row r="126" spans="2:25" ht="19" thickBot="1">
      <c r="B126" s="860" t="s">
        <v>313</v>
      </c>
      <c r="C126" s="860" t="str">
        <f>E28 &amp; " Vehicle with " &amp; E9 &amp; " Electrodes"</f>
        <v>EV Vehicle with LFP-G Electrodes</v>
      </c>
      <c r="D126" s="861" t="str">
        <f t="shared" ref="D126:J126" si="2">D32</f>
        <v>Battery 1</v>
      </c>
      <c r="E126" s="861" t="str">
        <f t="shared" si="2"/>
        <v>Battery 2</v>
      </c>
      <c r="F126" s="861" t="str">
        <f t="shared" si="2"/>
        <v>Battery 3</v>
      </c>
      <c r="G126" s="861" t="str">
        <f t="shared" si="2"/>
        <v>Battery 4</v>
      </c>
      <c r="H126" s="861" t="str">
        <f t="shared" si="2"/>
        <v>Battery 5</v>
      </c>
      <c r="I126" s="861" t="str">
        <f t="shared" si="2"/>
        <v>Battery 6</v>
      </c>
      <c r="J126" s="862" t="str">
        <f t="shared" si="2"/>
        <v>Battery 7</v>
      </c>
      <c r="K126"/>
      <c r="L126"/>
      <c r="M126"/>
      <c r="N126"/>
      <c r="O126"/>
      <c r="P126"/>
      <c r="Q126"/>
      <c r="R126" s="256"/>
      <c r="S126" s="256"/>
      <c r="T126" s="256"/>
      <c r="U126" s="256"/>
      <c r="V126" s="256"/>
      <c r="W126" s="256"/>
      <c r="X126" s="256"/>
      <c r="Y126" s="256"/>
    </row>
    <row r="127" spans="2:25" ht="20">
      <c r="B127" s="733">
        <v>1</v>
      </c>
      <c r="C127" s="734" t="str">
        <f>IFERROR(INDEX('Summary of Results'!$B:$B, MATCH(B127, 'Summary of Results'!$A:$A, 0)), NA())</f>
        <v>Battery system total energy storage, kWh</v>
      </c>
      <c r="D127" s="788">
        <f ca="1">IF(IFERROR(IF($C$77 = "Absolute", INDEX('Summary of Results'!G:G, MATCH($B127, 'Summary of Results'!$A:$A, 0)), (INDEX('Summary of Results'!G:G, MATCH($B127, 'Summary of Results'!$A:$A, 0))/INDEX('Summary of Results'!$G:$G, MATCH($B127, 'Summary of Results'!$A:$A, 0)) - 1)*100), NA()) = "", "", IFERROR(IF($C$77 = "Absolute", INDEX('Summary of Results'!G:G, MATCH($B127, 'Summary of Results'!$A:$A, 0)), (INDEX('Summary of Results'!G:G, MATCH($B127, 'Summary of Results'!$A:$A, 0))/INDEX('Summary of Results'!$G:$G, MATCH($B127, 'Summary of Results'!$A:$A, 0)) - 1)*100), NA()))</f>
        <v>99.999999999999957</v>
      </c>
      <c r="E127" s="788">
        <f ca="1">IF(IFERROR(IF($C$77 = "Absolute", INDEX('Summary of Results'!H:H, MATCH($B127, 'Summary of Results'!$A:$A, 0)), (INDEX('Summary of Results'!H:H, MATCH($B127, 'Summary of Results'!$A:$A, 0))/INDEX('Summary of Results'!$G:$G, MATCH($B127, 'Summary of Results'!$A:$A, 0)) - 1)*100), NA()) = "", "", IFERROR(IF($C$77 = "Absolute", INDEX('Summary of Results'!H:H, MATCH($B127, 'Summary of Results'!$A:$A, 0)), (INDEX('Summary of Results'!H:H, MATCH($B127, 'Summary of Results'!$A:$A, 0))/INDEX('Summary of Results'!$G:$G, MATCH($B127, 'Summary of Results'!$A:$A, 0)) - 1)*100), NA()))</f>
        <v>99.999999999999957</v>
      </c>
      <c r="F127" s="788">
        <f ca="1">IF(IFERROR(IF($C$77 = "Absolute", INDEX('Summary of Results'!I:I, MATCH($B127, 'Summary of Results'!$A:$A, 0)), (INDEX('Summary of Results'!I:I, MATCH($B127, 'Summary of Results'!$A:$A, 0))/INDEX('Summary of Results'!$G:$G, MATCH($B127, 'Summary of Results'!$A:$A, 0)) - 1)*100), NA()) = "", "", IFERROR(IF($C$77 = "Absolute", INDEX('Summary of Results'!I:I, MATCH($B127, 'Summary of Results'!$A:$A, 0)), (INDEX('Summary of Results'!I:I, MATCH($B127, 'Summary of Results'!$A:$A, 0))/INDEX('Summary of Results'!$G:$G, MATCH($B127, 'Summary of Results'!$A:$A, 0)) - 1)*100), NA()))</f>
        <v>99.999999999999957</v>
      </c>
      <c r="G127" s="788">
        <f ca="1">IF(IFERROR(IF($C$77 = "Absolute", INDEX('Summary of Results'!J:J, MATCH($B127, 'Summary of Results'!$A:$A, 0)), (INDEX('Summary of Results'!J:J, MATCH($B127, 'Summary of Results'!$A:$A, 0))/INDEX('Summary of Results'!$G:$G, MATCH($B127, 'Summary of Results'!$A:$A, 0)) - 1)*100), NA()) = "", "", IFERROR(IF($C$77 = "Absolute", INDEX('Summary of Results'!J:J, MATCH($B127, 'Summary of Results'!$A:$A, 0)), (INDEX('Summary of Results'!J:J, MATCH($B127, 'Summary of Results'!$A:$A, 0))/INDEX('Summary of Results'!$G:$G, MATCH($B127, 'Summary of Results'!$A:$A, 0)) - 1)*100), NA()))</f>
        <v>99.999999999999957</v>
      </c>
      <c r="H127" s="788">
        <f ca="1">IF(IFERROR(IF($C$77 = "Absolute", INDEX('Summary of Results'!K:K, MATCH($B127, 'Summary of Results'!$A:$A, 0)), (INDEX('Summary of Results'!K:K, MATCH($B127, 'Summary of Results'!$A:$A, 0))/INDEX('Summary of Results'!$G:$G, MATCH($B127, 'Summary of Results'!$A:$A, 0)) - 1)*100), NA()) = "", "", IFERROR(IF($C$77 = "Absolute", INDEX('Summary of Results'!K:K, MATCH($B127, 'Summary of Results'!$A:$A, 0)), (INDEX('Summary of Results'!K:K, MATCH($B127, 'Summary of Results'!$A:$A, 0))/INDEX('Summary of Results'!$G:$G, MATCH($B127, 'Summary of Results'!$A:$A, 0)) - 1)*100), NA()))</f>
        <v>99.999999999999957</v>
      </c>
      <c r="I127" s="788">
        <f ca="1">IF(IFERROR(IF($C$77 = "Absolute", INDEX('Summary of Results'!L:L, MATCH($B127, 'Summary of Results'!$A:$A, 0)), (INDEX('Summary of Results'!L:L, MATCH($B127, 'Summary of Results'!$A:$A, 0))/INDEX('Summary of Results'!$G:$G, MATCH($B127, 'Summary of Results'!$A:$A, 0)) - 1)*100), NA()) = "", "", IFERROR(IF($C$77 = "Absolute", INDEX('Summary of Results'!L:L, MATCH($B127, 'Summary of Results'!$A:$A, 0)), (INDEX('Summary of Results'!L:L, MATCH($B127, 'Summary of Results'!$A:$A, 0))/INDEX('Summary of Results'!$G:$G, MATCH($B127, 'Summary of Results'!$A:$A, 0)) - 1)*100), NA()))</f>
        <v>99.999999999999957</v>
      </c>
      <c r="J127" s="788">
        <f ca="1">IF(IFERROR(IF($C$77 = "Absolute", INDEX('Summary of Results'!M:M, MATCH($B127, 'Summary of Results'!$A:$A, 0)), (INDEX('Summary of Results'!M:M, MATCH($B127, 'Summary of Results'!$A:$A, 0))/INDEX('Summary of Results'!$G:$G, MATCH($B127, 'Summary of Results'!$A:$A, 0)) - 1)*100), NA()) = "", "", IFERROR(IF($C$77 = "Absolute", INDEX('Summary of Results'!M:M, MATCH($B127, 'Summary of Results'!$A:$A, 0)), (INDEX('Summary of Results'!M:M, MATCH($B127, 'Summary of Results'!$A:$A, 0))/INDEX('Summary of Results'!$G:$G, MATCH($B127, 'Summary of Results'!$A:$A, 0)) - 1)*100), NA()))</f>
        <v>99.999999999999957</v>
      </c>
      <c r="K127"/>
      <c r="L127"/>
      <c r="M127"/>
      <c r="N127"/>
      <c r="O127"/>
      <c r="P127"/>
      <c r="Q127"/>
      <c r="R127" s="256"/>
      <c r="S127" s="256"/>
      <c r="T127" s="256"/>
      <c r="U127" s="256"/>
      <c r="V127" s="256"/>
      <c r="W127" s="256"/>
      <c r="X127" s="256"/>
      <c r="Y127" s="256"/>
    </row>
    <row r="128" spans="2:25" ht="20">
      <c r="B128" s="733">
        <v>2</v>
      </c>
      <c r="C128" s="734" t="str">
        <f>IFERROR(INDEX('Summary of Results'!$B:$B, MATCH(B128, 'Summary of Results'!$A:$A, 0)), NA())</f>
        <v>Required battery system power, kW</v>
      </c>
      <c r="D128" s="788">
        <f>IF(IFERROR(IF($C$77 = "Absolute", INDEX('Summary of Results'!G:G, MATCH($B128, 'Summary of Results'!$A:$A, 0)), (INDEX('Summary of Results'!G:G, MATCH($B128, 'Summary of Results'!$A:$A, 0))/INDEX('Summary of Results'!$G:$G, MATCH($B128, 'Summary of Results'!$A:$A, 0)) - 1)*100), NA()) = "", "", IFERROR(IF($C$77 = "Absolute", INDEX('Summary of Results'!G:G, MATCH($B128, 'Summary of Results'!$A:$A, 0)), (INDEX('Summary of Results'!G:G, MATCH($B128, 'Summary of Results'!$A:$A, 0))/INDEX('Summary of Results'!$G:$G, MATCH($B128, 'Summary of Results'!$A:$A, 0)) - 1)*100), NA()))</f>
        <v>200</v>
      </c>
      <c r="E128" s="788">
        <f>IF(IFERROR(IF($C$77 = "Absolute", INDEX('Summary of Results'!H:H, MATCH($B128, 'Summary of Results'!$A:$A, 0)), (INDEX('Summary of Results'!H:H, MATCH($B128, 'Summary of Results'!$A:$A, 0))/INDEX('Summary of Results'!$G:$G, MATCH($B128, 'Summary of Results'!$A:$A, 0)) - 1)*100), NA()) = "", "", IFERROR(IF($C$77 = "Absolute", INDEX('Summary of Results'!H:H, MATCH($B128, 'Summary of Results'!$A:$A, 0)), (INDEX('Summary of Results'!H:H, MATCH($B128, 'Summary of Results'!$A:$A, 0))/INDEX('Summary of Results'!$G:$G, MATCH($B128, 'Summary of Results'!$A:$A, 0)) - 1)*100), NA()))</f>
        <v>200</v>
      </c>
      <c r="F128" s="788">
        <f>IF(IFERROR(IF($C$77 = "Absolute", INDEX('Summary of Results'!I:I, MATCH($B128, 'Summary of Results'!$A:$A, 0)), (INDEX('Summary of Results'!I:I, MATCH($B128, 'Summary of Results'!$A:$A, 0))/INDEX('Summary of Results'!$G:$G, MATCH($B128, 'Summary of Results'!$A:$A, 0)) - 1)*100), NA()) = "", "", IFERROR(IF($C$77 = "Absolute", INDEX('Summary of Results'!I:I, MATCH($B128, 'Summary of Results'!$A:$A, 0)), (INDEX('Summary of Results'!I:I, MATCH($B128, 'Summary of Results'!$A:$A, 0))/INDEX('Summary of Results'!$G:$G, MATCH($B128, 'Summary of Results'!$A:$A, 0)) - 1)*100), NA()))</f>
        <v>200</v>
      </c>
      <c r="G128" s="788">
        <f>IF(IFERROR(IF($C$77 = "Absolute", INDEX('Summary of Results'!J:J, MATCH($B128, 'Summary of Results'!$A:$A, 0)), (INDEX('Summary of Results'!J:J, MATCH($B128, 'Summary of Results'!$A:$A, 0))/INDEX('Summary of Results'!$G:$G, MATCH($B128, 'Summary of Results'!$A:$A, 0)) - 1)*100), NA()) = "", "", IFERROR(IF($C$77 = "Absolute", INDEX('Summary of Results'!J:J, MATCH($B128, 'Summary of Results'!$A:$A, 0)), (INDEX('Summary of Results'!J:J, MATCH($B128, 'Summary of Results'!$A:$A, 0))/INDEX('Summary of Results'!$G:$G, MATCH($B128, 'Summary of Results'!$A:$A, 0)) - 1)*100), NA()))</f>
        <v>200</v>
      </c>
      <c r="H128" s="788">
        <f>IF(IFERROR(IF($C$77 = "Absolute", INDEX('Summary of Results'!K:K, MATCH($B128, 'Summary of Results'!$A:$A, 0)), (INDEX('Summary of Results'!K:K, MATCH($B128, 'Summary of Results'!$A:$A, 0))/INDEX('Summary of Results'!$G:$G, MATCH($B128, 'Summary of Results'!$A:$A, 0)) - 1)*100), NA()) = "", "", IFERROR(IF($C$77 = "Absolute", INDEX('Summary of Results'!K:K, MATCH($B128, 'Summary of Results'!$A:$A, 0)), (INDEX('Summary of Results'!K:K, MATCH($B128, 'Summary of Results'!$A:$A, 0))/INDEX('Summary of Results'!$G:$G, MATCH($B128, 'Summary of Results'!$A:$A, 0)) - 1)*100), NA()))</f>
        <v>200</v>
      </c>
      <c r="I128" s="788">
        <f>IF(IFERROR(IF($C$77 = "Absolute", INDEX('Summary of Results'!L:L, MATCH($B128, 'Summary of Results'!$A:$A, 0)), (INDEX('Summary of Results'!L:L, MATCH($B128, 'Summary of Results'!$A:$A, 0))/INDEX('Summary of Results'!$G:$G, MATCH($B128, 'Summary of Results'!$A:$A, 0)) - 1)*100), NA()) = "", "", IFERROR(IF($C$77 = "Absolute", INDEX('Summary of Results'!L:L, MATCH($B128, 'Summary of Results'!$A:$A, 0)), (INDEX('Summary of Results'!L:L, MATCH($B128, 'Summary of Results'!$A:$A, 0))/INDEX('Summary of Results'!$G:$G, MATCH($B128, 'Summary of Results'!$A:$A, 0)) - 1)*100), NA()))</f>
        <v>200</v>
      </c>
      <c r="J128" s="788">
        <f>IF(IFERROR(IF($C$77 = "Absolute", INDEX('Summary of Results'!M:M, MATCH($B128, 'Summary of Results'!$A:$A, 0)), (INDEX('Summary of Results'!M:M, MATCH($B128, 'Summary of Results'!$A:$A, 0))/INDEX('Summary of Results'!$G:$G, MATCH($B128, 'Summary of Results'!$A:$A, 0)) - 1)*100), NA()) = "", "", IFERROR(IF($C$77 = "Absolute", INDEX('Summary of Results'!M:M, MATCH($B128, 'Summary of Results'!$A:$A, 0)), (INDEX('Summary of Results'!M:M, MATCH($B128, 'Summary of Results'!$A:$A, 0))/INDEX('Summary of Results'!$G:$G, MATCH($B128, 'Summary of Results'!$A:$A, 0)) - 1)*100), NA()))</f>
        <v>200</v>
      </c>
      <c r="K128"/>
      <c r="L128"/>
      <c r="M128"/>
      <c r="N128"/>
      <c r="O128"/>
      <c r="P128"/>
      <c r="Q128"/>
      <c r="R128" s="256"/>
      <c r="S128" s="256"/>
      <c r="T128" s="256"/>
      <c r="U128" s="256"/>
      <c r="V128" s="256"/>
      <c r="W128" s="256"/>
      <c r="X128" s="256"/>
      <c r="Y128" s="256"/>
    </row>
    <row r="129" spans="1:25" ht="20">
      <c r="B129" s="733">
        <v>3</v>
      </c>
      <c r="C129" s="734" t="str">
        <f>IFERROR(INDEX('Summary of Results'!$B:$B, MATCH(B129, 'Summary of Results'!$A:$A, 0)), NA())</f>
        <v>Pack power to energy ratio</v>
      </c>
      <c r="D129" s="788">
        <f ca="1">IF(IFERROR(IF($C$77 = "Absolute", INDEX('Summary of Results'!G:G, MATCH($B129, 'Summary of Results'!$A:$A, 0)), (INDEX('Summary of Results'!G:G, MATCH($B129, 'Summary of Results'!$A:$A, 0))/INDEX('Summary of Results'!$G:$G, MATCH($B129, 'Summary of Results'!$A:$A, 0)) - 1)*100), NA()) = "", "", IFERROR(IF($C$77 = "Absolute", INDEX('Summary of Results'!G:G, MATCH($B129, 'Summary of Results'!$A:$A, 0)), (INDEX('Summary of Results'!G:G, MATCH($B129, 'Summary of Results'!$A:$A, 0))/INDEX('Summary of Results'!$G:$G, MATCH($B129, 'Summary of Results'!$A:$A, 0)) - 1)*100), NA()))</f>
        <v>2.0000000000000009</v>
      </c>
      <c r="E129" s="788">
        <f ca="1">IF(IFERROR(IF($C$77 = "Absolute", INDEX('Summary of Results'!H:H, MATCH($B129, 'Summary of Results'!$A:$A, 0)), (INDEX('Summary of Results'!H:H, MATCH($B129, 'Summary of Results'!$A:$A, 0))/INDEX('Summary of Results'!$G:$G, MATCH($B129, 'Summary of Results'!$A:$A, 0)) - 1)*100), NA()) = "", "", IFERROR(IF($C$77 = "Absolute", INDEX('Summary of Results'!H:H, MATCH($B129, 'Summary of Results'!$A:$A, 0)), (INDEX('Summary of Results'!H:H, MATCH($B129, 'Summary of Results'!$A:$A, 0))/INDEX('Summary of Results'!$G:$G, MATCH($B129, 'Summary of Results'!$A:$A, 0)) - 1)*100), NA()))</f>
        <v>2.0000000000000009</v>
      </c>
      <c r="F129" s="788">
        <f ca="1">IF(IFERROR(IF($C$77 = "Absolute", INDEX('Summary of Results'!I:I, MATCH($B129, 'Summary of Results'!$A:$A, 0)), (INDEX('Summary of Results'!I:I, MATCH($B129, 'Summary of Results'!$A:$A, 0))/INDEX('Summary of Results'!$G:$G, MATCH($B129, 'Summary of Results'!$A:$A, 0)) - 1)*100), NA()) = "", "", IFERROR(IF($C$77 = "Absolute", INDEX('Summary of Results'!I:I, MATCH($B129, 'Summary of Results'!$A:$A, 0)), (INDEX('Summary of Results'!I:I, MATCH($B129, 'Summary of Results'!$A:$A, 0))/INDEX('Summary of Results'!$G:$G, MATCH($B129, 'Summary of Results'!$A:$A, 0)) - 1)*100), NA()))</f>
        <v>2.0000000000000009</v>
      </c>
      <c r="G129" s="788">
        <f ca="1">IF(IFERROR(IF($C$77 = "Absolute", INDEX('Summary of Results'!J:J, MATCH($B129, 'Summary of Results'!$A:$A, 0)), (INDEX('Summary of Results'!J:J, MATCH($B129, 'Summary of Results'!$A:$A, 0))/INDEX('Summary of Results'!$G:$G, MATCH($B129, 'Summary of Results'!$A:$A, 0)) - 1)*100), NA()) = "", "", IFERROR(IF($C$77 = "Absolute", INDEX('Summary of Results'!J:J, MATCH($B129, 'Summary of Results'!$A:$A, 0)), (INDEX('Summary of Results'!J:J, MATCH($B129, 'Summary of Results'!$A:$A, 0))/INDEX('Summary of Results'!$G:$G, MATCH($B129, 'Summary of Results'!$A:$A, 0)) - 1)*100), NA()))</f>
        <v>2.0000000000000009</v>
      </c>
      <c r="H129" s="788">
        <f ca="1">IF(IFERROR(IF($C$77 = "Absolute", INDEX('Summary of Results'!K:K, MATCH($B129, 'Summary of Results'!$A:$A, 0)), (INDEX('Summary of Results'!K:K, MATCH($B129, 'Summary of Results'!$A:$A, 0))/INDEX('Summary of Results'!$G:$G, MATCH($B129, 'Summary of Results'!$A:$A, 0)) - 1)*100), NA()) = "", "", IFERROR(IF($C$77 = "Absolute", INDEX('Summary of Results'!K:K, MATCH($B129, 'Summary of Results'!$A:$A, 0)), (INDEX('Summary of Results'!K:K, MATCH($B129, 'Summary of Results'!$A:$A, 0))/INDEX('Summary of Results'!$G:$G, MATCH($B129, 'Summary of Results'!$A:$A, 0)) - 1)*100), NA()))</f>
        <v>2.0000000000000009</v>
      </c>
      <c r="I129" s="788">
        <f ca="1">IF(IFERROR(IF($C$77 = "Absolute", INDEX('Summary of Results'!L:L, MATCH($B129, 'Summary of Results'!$A:$A, 0)), (INDEX('Summary of Results'!L:L, MATCH($B129, 'Summary of Results'!$A:$A, 0))/INDEX('Summary of Results'!$G:$G, MATCH($B129, 'Summary of Results'!$A:$A, 0)) - 1)*100), NA()) = "", "", IFERROR(IF($C$77 = "Absolute", INDEX('Summary of Results'!L:L, MATCH($B129, 'Summary of Results'!$A:$A, 0)), (INDEX('Summary of Results'!L:L, MATCH($B129, 'Summary of Results'!$A:$A, 0))/INDEX('Summary of Results'!$G:$G, MATCH($B129, 'Summary of Results'!$A:$A, 0)) - 1)*100), NA()))</f>
        <v>2.0000000000000009</v>
      </c>
      <c r="J129" s="788">
        <f ca="1">IF(IFERROR(IF($C$77 = "Absolute", INDEX('Summary of Results'!M:M, MATCH($B129, 'Summary of Results'!$A:$A, 0)), (INDEX('Summary of Results'!M:M, MATCH($B129, 'Summary of Results'!$A:$A, 0))/INDEX('Summary of Results'!$G:$G, MATCH($B129, 'Summary of Results'!$A:$A, 0)) - 1)*100), NA()) = "", "", IFERROR(IF($C$77 = "Absolute", INDEX('Summary of Results'!M:M, MATCH($B129, 'Summary of Results'!$A:$A, 0)), (INDEX('Summary of Results'!M:M, MATCH($B129, 'Summary of Results'!$A:$A, 0))/INDEX('Summary of Results'!$G:$G, MATCH($B129, 'Summary of Results'!$A:$A, 0)) - 1)*100), NA()))</f>
        <v>2.0000000000000009</v>
      </c>
      <c r="K129"/>
      <c r="L129"/>
      <c r="M129"/>
      <c r="N129"/>
      <c r="O129"/>
      <c r="P129"/>
      <c r="Q129"/>
      <c r="R129" s="256"/>
      <c r="S129" s="256"/>
      <c r="T129" s="256"/>
      <c r="U129" s="256"/>
      <c r="V129" s="256"/>
      <c r="W129" s="256"/>
      <c r="X129" s="256"/>
      <c r="Y129" s="256"/>
    </row>
    <row r="130" spans="1:25" ht="20">
      <c r="B130" s="733">
        <v>4</v>
      </c>
      <c r="C130" s="734" t="str">
        <f>IFERROR(INDEX('Summary of Results'!$B:$B, MATCH(B130, 'Summary of Results'!$A:$A, 0)), NA())</f>
        <v>Pack charging time for 80% ΔSOC, min</v>
      </c>
      <c r="D130" s="788">
        <f>IF(IFERROR(IF($C$77 = "Absolute", INDEX('Summary of Results'!G:G, MATCH($B130, 'Summary of Results'!$A:$A, 0)), (INDEX('Summary of Results'!G:G, MATCH($B130, 'Summary of Results'!$A:$A, 0))/INDEX('Summary of Results'!$G:$G, MATCH($B130, 'Summary of Results'!$A:$A, 0)) - 1)*100), NA()) = "", "", IFERROR(IF($C$77 = "Absolute", INDEX('Summary of Results'!G:G, MATCH($B130, 'Summary of Results'!$A:$A, 0)), (INDEX('Summary of Results'!G:G, MATCH($B130, 'Summary of Results'!$A:$A, 0))/INDEX('Summary of Results'!$G:$G, MATCH($B130, 'Summary of Results'!$A:$A, 0)) - 1)*100), NA()))</f>
        <v>56</v>
      </c>
      <c r="E130" s="788">
        <f>IF(IFERROR(IF($C$77 = "Absolute", INDEX('Summary of Results'!H:H, MATCH($B130, 'Summary of Results'!$A:$A, 0)), (INDEX('Summary of Results'!H:H, MATCH($B130, 'Summary of Results'!$A:$A, 0))/INDEX('Summary of Results'!$G:$G, MATCH($B130, 'Summary of Results'!$A:$A, 0)) - 1)*100), NA()) = "", "", IFERROR(IF($C$77 = "Absolute", INDEX('Summary of Results'!H:H, MATCH($B130, 'Summary of Results'!$A:$A, 0)), (INDEX('Summary of Results'!H:H, MATCH($B130, 'Summary of Results'!$A:$A, 0))/INDEX('Summary of Results'!$G:$G, MATCH($B130, 'Summary of Results'!$A:$A, 0)) - 1)*100), NA()))</f>
        <v>56</v>
      </c>
      <c r="F130" s="788">
        <f>IF(IFERROR(IF($C$77 = "Absolute", INDEX('Summary of Results'!I:I, MATCH($B130, 'Summary of Results'!$A:$A, 0)), (INDEX('Summary of Results'!I:I, MATCH($B130, 'Summary of Results'!$A:$A, 0))/INDEX('Summary of Results'!$G:$G, MATCH($B130, 'Summary of Results'!$A:$A, 0)) - 1)*100), NA()) = "", "", IFERROR(IF($C$77 = "Absolute", INDEX('Summary of Results'!I:I, MATCH($B130, 'Summary of Results'!$A:$A, 0)), (INDEX('Summary of Results'!I:I, MATCH($B130, 'Summary of Results'!$A:$A, 0))/INDEX('Summary of Results'!$G:$G, MATCH($B130, 'Summary of Results'!$A:$A, 0)) - 1)*100), NA()))</f>
        <v>56</v>
      </c>
      <c r="G130" s="788">
        <f>IF(IFERROR(IF($C$77 = "Absolute", INDEX('Summary of Results'!J:J, MATCH($B130, 'Summary of Results'!$A:$A, 0)), (INDEX('Summary of Results'!J:J, MATCH($B130, 'Summary of Results'!$A:$A, 0))/INDEX('Summary of Results'!$G:$G, MATCH($B130, 'Summary of Results'!$A:$A, 0)) - 1)*100), NA()) = "", "", IFERROR(IF($C$77 = "Absolute", INDEX('Summary of Results'!J:J, MATCH($B130, 'Summary of Results'!$A:$A, 0)), (INDEX('Summary of Results'!J:J, MATCH($B130, 'Summary of Results'!$A:$A, 0))/INDEX('Summary of Results'!$G:$G, MATCH($B130, 'Summary of Results'!$A:$A, 0)) - 1)*100), NA()))</f>
        <v>56</v>
      </c>
      <c r="H130" s="788">
        <f>IF(IFERROR(IF($C$77 = "Absolute", INDEX('Summary of Results'!K:K, MATCH($B130, 'Summary of Results'!$A:$A, 0)), (INDEX('Summary of Results'!K:K, MATCH($B130, 'Summary of Results'!$A:$A, 0))/INDEX('Summary of Results'!$G:$G, MATCH($B130, 'Summary of Results'!$A:$A, 0)) - 1)*100), NA()) = "", "", IFERROR(IF($C$77 = "Absolute", INDEX('Summary of Results'!K:K, MATCH($B130, 'Summary of Results'!$A:$A, 0)), (INDEX('Summary of Results'!K:K, MATCH($B130, 'Summary of Results'!$A:$A, 0))/INDEX('Summary of Results'!$G:$G, MATCH($B130, 'Summary of Results'!$A:$A, 0)) - 1)*100), NA()))</f>
        <v>56</v>
      </c>
      <c r="I130" s="788">
        <f>IF(IFERROR(IF($C$77 = "Absolute", INDEX('Summary of Results'!L:L, MATCH($B130, 'Summary of Results'!$A:$A, 0)), (INDEX('Summary of Results'!L:L, MATCH($B130, 'Summary of Results'!$A:$A, 0))/INDEX('Summary of Results'!$G:$G, MATCH($B130, 'Summary of Results'!$A:$A, 0)) - 1)*100), NA()) = "", "", IFERROR(IF($C$77 = "Absolute", INDEX('Summary of Results'!L:L, MATCH($B130, 'Summary of Results'!$A:$A, 0)), (INDEX('Summary of Results'!L:L, MATCH($B130, 'Summary of Results'!$A:$A, 0))/INDEX('Summary of Results'!$G:$G, MATCH($B130, 'Summary of Results'!$A:$A, 0)) - 1)*100), NA()))</f>
        <v>56</v>
      </c>
      <c r="J130" s="788">
        <f>IF(IFERROR(IF($C$77 = "Absolute", INDEX('Summary of Results'!M:M, MATCH($B130, 'Summary of Results'!$A:$A, 0)), (INDEX('Summary of Results'!M:M, MATCH($B130, 'Summary of Results'!$A:$A, 0))/INDEX('Summary of Results'!$G:$G, MATCH($B130, 'Summary of Results'!$A:$A, 0)) - 1)*100), NA()) = "", "", IFERROR(IF($C$77 = "Absolute", INDEX('Summary of Results'!M:M, MATCH($B130, 'Summary of Results'!$A:$A, 0)), (INDEX('Summary of Results'!M:M, MATCH($B130, 'Summary of Results'!$A:$A, 0))/INDEX('Summary of Results'!$G:$G, MATCH($B130, 'Summary of Results'!$A:$A, 0)) - 1)*100), NA()))</f>
        <v>56</v>
      </c>
      <c r="K130"/>
      <c r="L130"/>
      <c r="M130"/>
      <c r="N130"/>
      <c r="O130"/>
      <c r="P130"/>
      <c r="Q130"/>
      <c r="R130" s="256"/>
      <c r="S130" s="256"/>
      <c r="T130" s="256"/>
      <c r="U130" s="256"/>
      <c r="V130" s="256"/>
      <c r="W130" s="256"/>
      <c r="X130" s="256"/>
      <c r="Y130" s="256"/>
    </row>
    <row r="131" spans="1:25" ht="20">
      <c r="B131" s="733">
        <v>5</v>
      </c>
      <c r="C131" s="734" t="str">
        <f>IFERROR(INDEX('Summary of Results'!$B:$B, MATCH(B131, 'Summary of Results'!$A:$A, 0)), NA())</f>
        <v>Cell capacity inadequate if X</v>
      </c>
      <c r="D131" s="788" t="str">
        <f ca="1">IF(IFERROR(IF($C$77 = "Absolute", INDEX('Summary of Results'!G:G, MATCH($B131, 'Summary of Results'!$A:$A, 0)), (INDEX('Summary of Results'!G:G, MATCH($B131, 'Summary of Results'!$A:$A, 0))/INDEX('Summary of Results'!$G:$G, MATCH($B131, 'Summary of Results'!$A:$A, 0)) - 1)*100), NA()) = "", "", IFERROR(IF($C$77 = "Absolute", INDEX('Summary of Results'!G:G, MATCH($B131, 'Summary of Results'!$A:$A, 0)), (INDEX('Summary of Results'!G:G, MATCH($B131, 'Summary of Results'!$A:$A, 0))/INDEX('Summary of Results'!$G:$G, MATCH($B131, 'Summary of Results'!$A:$A, 0)) - 1)*100), NA()))</f>
        <v/>
      </c>
      <c r="E131" s="788" t="str">
        <f ca="1">IF(IFERROR(IF($C$77 = "Absolute", INDEX('Summary of Results'!H:H, MATCH($B131, 'Summary of Results'!$A:$A, 0)), (INDEX('Summary of Results'!H:H, MATCH($B131, 'Summary of Results'!$A:$A, 0))/INDEX('Summary of Results'!$G:$G, MATCH($B131, 'Summary of Results'!$A:$A, 0)) - 1)*100), NA()) = "", "", IFERROR(IF($C$77 = "Absolute", INDEX('Summary of Results'!H:H, MATCH($B131, 'Summary of Results'!$A:$A, 0)), (INDEX('Summary of Results'!H:H, MATCH($B131, 'Summary of Results'!$A:$A, 0))/INDEX('Summary of Results'!$G:$G, MATCH($B131, 'Summary of Results'!$A:$A, 0)) - 1)*100), NA()))</f>
        <v/>
      </c>
      <c r="F131" s="788" t="str">
        <f ca="1">IF(IFERROR(IF($C$77 = "Absolute", INDEX('Summary of Results'!I:I, MATCH($B131, 'Summary of Results'!$A:$A, 0)), (INDEX('Summary of Results'!I:I, MATCH($B131, 'Summary of Results'!$A:$A, 0))/INDEX('Summary of Results'!$G:$G, MATCH($B131, 'Summary of Results'!$A:$A, 0)) - 1)*100), NA()) = "", "", IFERROR(IF($C$77 = "Absolute", INDEX('Summary of Results'!I:I, MATCH($B131, 'Summary of Results'!$A:$A, 0)), (INDEX('Summary of Results'!I:I, MATCH($B131, 'Summary of Results'!$A:$A, 0))/INDEX('Summary of Results'!$G:$G, MATCH($B131, 'Summary of Results'!$A:$A, 0)) - 1)*100), NA()))</f>
        <v/>
      </c>
      <c r="G131" s="788" t="str">
        <f ca="1">IF(IFERROR(IF($C$77 = "Absolute", INDEX('Summary of Results'!J:J, MATCH($B131, 'Summary of Results'!$A:$A, 0)), (INDEX('Summary of Results'!J:J, MATCH($B131, 'Summary of Results'!$A:$A, 0))/INDEX('Summary of Results'!$G:$G, MATCH($B131, 'Summary of Results'!$A:$A, 0)) - 1)*100), NA()) = "", "", IFERROR(IF($C$77 = "Absolute", INDEX('Summary of Results'!J:J, MATCH($B131, 'Summary of Results'!$A:$A, 0)), (INDEX('Summary of Results'!J:J, MATCH($B131, 'Summary of Results'!$A:$A, 0))/INDEX('Summary of Results'!$G:$G, MATCH($B131, 'Summary of Results'!$A:$A, 0)) - 1)*100), NA()))</f>
        <v/>
      </c>
      <c r="H131" s="788" t="str">
        <f ca="1">IF(IFERROR(IF($C$77 = "Absolute", INDEX('Summary of Results'!K:K, MATCH($B131, 'Summary of Results'!$A:$A, 0)), (INDEX('Summary of Results'!K:K, MATCH($B131, 'Summary of Results'!$A:$A, 0))/INDEX('Summary of Results'!$G:$G, MATCH($B131, 'Summary of Results'!$A:$A, 0)) - 1)*100), NA()) = "", "", IFERROR(IF($C$77 = "Absolute", INDEX('Summary of Results'!K:K, MATCH($B131, 'Summary of Results'!$A:$A, 0)), (INDEX('Summary of Results'!K:K, MATCH($B131, 'Summary of Results'!$A:$A, 0))/INDEX('Summary of Results'!$G:$G, MATCH($B131, 'Summary of Results'!$A:$A, 0)) - 1)*100), NA()))</f>
        <v/>
      </c>
      <c r="I131" s="788" t="str">
        <f ca="1">IF(IFERROR(IF($C$77 = "Absolute", INDEX('Summary of Results'!L:L, MATCH($B131, 'Summary of Results'!$A:$A, 0)), (INDEX('Summary of Results'!L:L, MATCH($B131, 'Summary of Results'!$A:$A, 0))/INDEX('Summary of Results'!$G:$G, MATCH($B131, 'Summary of Results'!$A:$A, 0)) - 1)*100), NA()) = "", "", IFERROR(IF($C$77 = "Absolute", INDEX('Summary of Results'!L:L, MATCH($B131, 'Summary of Results'!$A:$A, 0)), (INDEX('Summary of Results'!L:L, MATCH($B131, 'Summary of Results'!$A:$A, 0))/INDEX('Summary of Results'!$G:$G, MATCH($B131, 'Summary of Results'!$A:$A, 0)) - 1)*100), NA()))</f>
        <v/>
      </c>
      <c r="J131" s="788" t="str">
        <f ca="1">IF(IFERROR(IF($C$77 = "Absolute", INDEX('Summary of Results'!M:M, MATCH($B131, 'Summary of Results'!$A:$A, 0)), (INDEX('Summary of Results'!M:M, MATCH($B131, 'Summary of Results'!$A:$A, 0))/INDEX('Summary of Results'!$G:$G, MATCH($B131, 'Summary of Results'!$A:$A, 0)) - 1)*100), NA()) = "", "", IFERROR(IF($C$77 = "Absolute", INDEX('Summary of Results'!M:M, MATCH($B131, 'Summary of Results'!$A:$A, 0)), (INDEX('Summary of Results'!M:M, MATCH($B131, 'Summary of Results'!$A:$A, 0))/INDEX('Summary of Results'!$G:$G, MATCH($B131, 'Summary of Results'!$A:$A, 0)) - 1)*100), NA()))</f>
        <v/>
      </c>
      <c r="K131"/>
      <c r="L131"/>
      <c r="M131"/>
      <c r="N131"/>
      <c r="O131"/>
      <c r="P131"/>
      <c r="Q131"/>
      <c r="R131" s="256"/>
      <c r="S131" s="256"/>
      <c r="T131" s="256"/>
      <c r="U131" s="256"/>
      <c r="V131" s="256"/>
      <c r="W131" s="256"/>
      <c r="X131" s="256"/>
      <c r="Y131" s="256"/>
    </row>
    <row r="132" spans="1:25" ht="20">
      <c r="B132" s="733">
        <v>6</v>
      </c>
      <c r="C132" s="734" t="str">
        <f>IFERROR(INDEX('Summary of Results'!$B:$B, MATCH(B132, 'Summary of Results'!$A:$A, 0)), NA())</f>
        <v>Positive electrode thickness, µm</v>
      </c>
      <c r="D132" s="788">
        <f ca="1">IF(IFERROR(IF($C$77 = "Absolute", INDEX('Summary of Results'!G:G, MATCH($B132, 'Summary of Results'!$A:$A, 0)), (INDEX('Summary of Results'!G:G, MATCH($B132, 'Summary of Results'!$A:$A, 0))/INDEX('Summary of Results'!$G:$G, MATCH($B132, 'Summary of Results'!$A:$A, 0)) - 1)*100), NA()) = "", "", IFERROR(IF($C$77 = "Absolute", INDEX('Summary of Results'!G:G, MATCH($B132, 'Summary of Results'!$A:$A, 0)), (INDEX('Summary of Results'!G:G, MATCH($B132, 'Summary of Results'!$A:$A, 0))/INDEX('Summary of Results'!$G:$G, MATCH($B132, 'Summary of Results'!$A:$A, 0)) - 1)*100), NA()))</f>
        <v>120</v>
      </c>
      <c r="E132" s="788">
        <f ca="1">IF(IFERROR(IF($C$77 = "Absolute", INDEX('Summary of Results'!H:H, MATCH($B132, 'Summary of Results'!$A:$A, 0)), (INDEX('Summary of Results'!H:H, MATCH($B132, 'Summary of Results'!$A:$A, 0))/INDEX('Summary of Results'!$G:$G, MATCH($B132, 'Summary of Results'!$A:$A, 0)) - 1)*100), NA()) = "", "", IFERROR(IF($C$77 = "Absolute", INDEX('Summary of Results'!H:H, MATCH($B132, 'Summary of Results'!$A:$A, 0)), (INDEX('Summary of Results'!H:H, MATCH($B132, 'Summary of Results'!$A:$A, 0))/INDEX('Summary of Results'!$G:$G, MATCH($B132, 'Summary of Results'!$A:$A, 0)) - 1)*100), NA()))</f>
        <v>120</v>
      </c>
      <c r="F132" s="788">
        <f ca="1">IF(IFERROR(IF($C$77 = "Absolute", INDEX('Summary of Results'!I:I, MATCH($B132, 'Summary of Results'!$A:$A, 0)), (INDEX('Summary of Results'!I:I, MATCH($B132, 'Summary of Results'!$A:$A, 0))/INDEX('Summary of Results'!$G:$G, MATCH($B132, 'Summary of Results'!$A:$A, 0)) - 1)*100), NA()) = "", "", IFERROR(IF($C$77 = "Absolute", INDEX('Summary of Results'!I:I, MATCH($B132, 'Summary of Results'!$A:$A, 0)), (INDEX('Summary of Results'!I:I, MATCH($B132, 'Summary of Results'!$A:$A, 0))/INDEX('Summary of Results'!$G:$G, MATCH($B132, 'Summary of Results'!$A:$A, 0)) - 1)*100), NA()))</f>
        <v>120</v>
      </c>
      <c r="G132" s="788">
        <f ca="1">IF(IFERROR(IF($C$77 = "Absolute", INDEX('Summary of Results'!J:J, MATCH($B132, 'Summary of Results'!$A:$A, 0)), (INDEX('Summary of Results'!J:J, MATCH($B132, 'Summary of Results'!$A:$A, 0))/INDEX('Summary of Results'!$G:$G, MATCH($B132, 'Summary of Results'!$A:$A, 0)) - 1)*100), NA()) = "", "", IFERROR(IF($C$77 = "Absolute", INDEX('Summary of Results'!J:J, MATCH($B132, 'Summary of Results'!$A:$A, 0)), (INDEX('Summary of Results'!J:J, MATCH($B132, 'Summary of Results'!$A:$A, 0))/INDEX('Summary of Results'!$G:$G, MATCH($B132, 'Summary of Results'!$A:$A, 0)) - 1)*100), NA()))</f>
        <v>120</v>
      </c>
      <c r="H132" s="788">
        <f ca="1">IF(IFERROR(IF($C$77 = "Absolute", INDEX('Summary of Results'!K:K, MATCH($B132, 'Summary of Results'!$A:$A, 0)), (INDEX('Summary of Results'!K:K, MATCH($B132, 'Summary of Results'!$A:$A, 0))/INDEX('Summary of Results'!$G:$G, MATCH($B132, 'Summary of Results'!$A:$A, 0)) - 1)*100), NA()) = "", "", IFERROR(IF($C$77 = "Absolute", INDEX('Summary of Results'!K:K, MATCH($B132, 'Summary of Results'!$A:$A, 0)), (INDEX('Summary of Results'!K:K, MATCH($B132, 'Summary of Results'!$A:$A, 0))/INDEX('Summary of Results'!$G:$G, MATCH($B132, 'Summary of Results'!$A:$A, 0)) - 1)*100), NA()))</f>
        <v>120</v>
      </c>
      <c r="I132" s="788">
        <f ca="1">IF(IFERROR(IF($C$77 = "Absolute", INDEX('Summary of Results'!L:L, MATCH($B132, 'Summary of Results'!$A:$A, 0)), (INDEX('Summary of Results'!L:L, MATCH($B132, 'Summary of Results'!$A:$A, 0))/INDEX('Summary of Results'!$G:$G, MATCH($B132, 'Summary of Results'!$A:$A, 0)) - 1)*100), NA()) = "", "", IFERROR(IF($C$77 = "Absolute", INDEX('Summary of Results'!L:L, MATCH($B132, 'Summary of Results'!$A:$A, 0)), (INDEX('Summary of Results'!L:L, MATCH($B132, 'Summary of Results'!$A:$A, 0))/INDEX('Summary of Results'!$G:$G, MATCH($B132, 'Summary of Results'!$A:$A, 0)) - 1)*100), NA()))</f>
        <v>120</v>
      </c>
      <c r="J132" s="788">
        <f ca="1">IF(IFERROR(IF($C$77 = "Absolute", INDEX('Summary of Results'!M:M, MATCH($B132, 'Summary of Results'!$A:$A, 0)), (INDEX('Summary of Results'!M:M, MATCH($B132, 'Summary of Results'!$A:$A, 0))/INDEX('Summary of Results'!$G:$G, MATCH($B132, 'Summary of Results'!$A:$A, 0)) - 1)*100), NA()) = "", "", IFERROR(IF($C$77 = "Absolute", INDEX('Summary of Results'!M:M, MATCH($B132, 'Summary of Results'!$A:$A, 0)), (INDEX('Summary of Results'!M:M, MATCH($B132, 'Summary of Results'!$A:$A, 0))/INDEX('Summary of Results'!$G:$G, MATCH($B132, 'Summary of Results'!$A:$A, 0)) - 1)*100), NA()))</f>
        <v>120</v>
      </c>
      <c r="K132"/>
      <c r="L132"/>
      <c r="M132"/>
      <c r="N132"/>
      <c r="O132"/>
      <c r="P132"/>
      <c r="Q132"/>
      <c r="R132" s="256"/>
      <c r="S132" s="256"/>
      <c r="T132" s="256"/>
      <c r="U132" s="256"/>
      <c r="V132" s="256"/>
      <c r="W132" s="256"/>
      <c r="X132" s="256"/>
      <c r="Y132" s="256"/>
    </row>
    <row r="133" spans="1:25" ht="20">
      <c r="B133" s="733">
        <v>7</v>
      </c>
      <c r="C133" s="734" t="str">
        <f>IFERROR(INDEX('Summary of Results'!$B:$B, MATCH(B133, 'Summary of Results'!$A:$A, 0)), NA())</f>
        <v>Positive electode areal capacity, mAh/cm²</v>
      </c>
      <c r="D133" s="788">
        <f ca="1">IF(IFERROR(IF($C$77 = "Absolute", INDEX('Summary of Results'!G:G, MATCH($B133, 'Summary of Results'!$A:$A, 0)), (INDEX('Summary of Results'!G:G, MATCH($B133, 'Summary of Results'!$A:$A, 0))/INDEX('Summary of Results'!$G:$G, MATCH($B133, 'Summary of Results'!$A:$A, 0)) - 1)*100), NA()) = "", "", IFERROR(IF($C$77 = "Absolute", INDEX('Summary of Results'!G:G, MATCH($B133, 'Summary of Results'!$A:$A, 0)), (INDEX('Summary of Results'!G:G, MATCH($B133, 'Summary of Results'!$A:$A, 0))/INDEX('Summary of Results'!$G:$G, MATCH($B133, 'Summary of Results'!$A:$A, 0)) - 1)*100), NA()))</f>
        <v>4.4922253250504989</v>
      </c>
      <c r="E133" s="788">
        <f ca="1">IF(IFERROR(IF($C$77 = "Absolute", INDEX('Summary of Results'!H:H, MATCH($B133, 'Summary of Results'!$A:$A, 0)), (INDEX('Summary of Results'!H:H, MATCH($B133, 'Summary of Results'!$A:$A, 0))/INDEX('Summary of Results'!$G:$G, MATCH($B133, 'Summary of Results'!$A:$A, 0)) - 1)*100), NA()) = "", "", IFERROR(IF($C$77 = "Absolute", INDEX('Summary of Results'!H:H, MATCH($B133, 'Summary of Results'!$A:$A, 0)), (INDEX('Summary of Results'!H:H, MATCH($B133, 'Summary of Results'!$A:$A, 0))/INDEX('Summary of Results'!$G:$G, MATCH($B133, 'Summary of Results'!$A:$A, 0)) - 1)*100), NA()))</f>
        <v>4.4922253250504989</v>
      </c>
      <c r="F133" s="788">
        <f ca="1">IF(IFERROR(IF($C$77 = "Absolute", INDEX('Summary of Results'!I:I, MATCH($B133, 'Summary of Results'!$A:$A, 0)), (INDEX('Summary of Results'!I:I, MATCH($B133, 'Summary of Results'!$A:$A, 0))/INDEX('Summary of Results'!$G:$G, MATCH($B133, 'Summary of Results'!$A:$A, 0)) - 1)*100), NA()) = "", "", IFERROR(IF($C$77 = "Absolute", INDEX('Summary of Results'!I:I, MATCH($B133, 'Summary of Results'!$A:$A, 0)), (INDEX('Summary of Results'!I:I, MATCH($B133, 'Summary of Results'!$A:$A, 0))/INDEX('Summary of Results'!$G:$G, MATCH($B133, 'Summary of Results'!$A:$A, 0)) - 1)*100), NA()))</f>
        <v>4.4922253250504989</v>
      </c>
      <c r="G133" s="788">
        <f ca="1">IF(IFERROR(IF($C$77 = "Absolute", INDEX('Summary of Results'!J:J, MATCH($B133, 'Summary of Results'!$A:$A, 0)), (INDEX('Summary of Results'!J:J, MATCH($B133, 'Summary of Results'!$A:$A, 0))/INDEX('Summary of Results'!$G:$G, MATCH($B133, 'Summary of Results'!$A:$A, 0)) - 1)*100), NA()) = "", "", IFERROR(IF($C$77 = "Absolute", INDEX('Summary of Results'!J:J, MATCH($B133, 'Summary of Results'!$A:$A, 0)), (INDEX('Summary of Results'!J:J, MATCH($B133, 'Summary of Results'!$A:$A, 0))/INDEX('Summary of Results'!$G:$G, MATCH($B133, 'Summary of Results'!$A:$A, 0)) - 1)*100), NA()))</f>
        <v>4.4922253250504989</v>
      </c>
      <c r="H133" s="788">
        <f ca="1">IF(IFERROR(IF($C$77 = "Absolute", INDEX('Summary of Results'!K:K, MATCH($B133, 'Summary of Results'!$A:$A, 0)), (INDEX('Summary of Results'!K:K, MATCH($B133, 'Summary of Results'!$A:$A, 0))/INDEX('Summary of Results'!$G:$G, MATCH($B133, 'Summary of Results'!$A:$A, 0)) - 1)*100), NA()) = "", "", IFERROR(IF($C$77 = "Absolute", INDEX('Summary of Results'!K:K, MATCH($B133, 'Summary of Results'!$A:$A, 0)), (INDEX('Summary of Results'!K:K, MATCH($B133, 'Summary of Results'!$A:$A, 0))/INDEX('Summary of Results'!$G:$G, MATCH($B133, 'Summary of Results'!$A:$A, 0)) - 1)*100), NA()))</f>
        <v>4.4922253250504989</v>
      </c>
      <c r="I133" s="788">
        <f ca="1">IF(IFERROR(IF($C$77 = "Absolute", INDEX('Summary of Results'!L:L, MATCH($B133, 'Summary of Results'!$A:$A, 0)), (INDEX('Summary of Results'!L:L, MATCH($B133, 'Summary of Results'!$A:$A, 0))/INDEX('Summary of Results'!$G:$G, MATCH($B133, 'Summary of Results'!$A:$A, 0)) - 1)*100), NA()) = "", "", IFERROR(IF($C$77 = "Absolute", INDEX('Summary of Results'!L:L, MATCH($B133, 'Summary of Results'!$A:$A, 0)), (INDEX('Summary of Results'!L:L, MATCH($B133, 'Summary of Results'!$A:$A, 0))/INDEX('Summary of Results'!$G:$G, MATCH($B133, 'Summary of Results'!$A:$A, 0)) - 1)*100), NA()))</f>
        <v>4.4922253250504989</v>
      </c>
      <c r="J133" s="788">
        <f ca="1">IF(IFERROR(IF($C$77 = "Absolute", INDEX('Summary of Results'!M:M, MATCH($B133, 'Summary of Results'!$A:$A, 0)), (INDEX('Summary of Results'!M:M, MATCH($B133, 'Summary of Results'!$A:$A, 0))/INDEX('Summary of Results'!$G:$G, MATCH($B133, 'Summary of Results'!$A:$A, 0)) - 1)*100), NA()) = "", "", IFERROR(IF($C$77 = "Absolute", INDEX('Summary of Results'!M:M, MATCH($B133, 'Summary of Results'!$A:$A, 0)), (INDEX('Summary of Results'!M:M, MATCH($B133, 'Summary of Results'!$A:$A, 0))/INDEX('Summary of Results'!$G:$G, MATCH($B133, 'Summary of Results'!$A:$A, 0)) - 1)*100), NA()))</f>
        <v>4.4922253250504989</v>
      </c>
      <c r="K133"/>
      <c r="L133"/>
      <c r="M133"/>
      <c r="N133"/>
      <c r="O133"/>
      <c r="P133"/>
      <c r="Q133"/>
      <c r="R133" s="256"/>
      <c r="S133" s="256"/>
      <c r="T133" s="256"/>
      <c r="U133" s="256"/>
      <c r="V133" s="256"/>
      <c r="W133" s="256"/>
      <c r="X133" s="256"/>
      <c r="Y133" s="256"/>
    </row>
    <row r="134" spans="1:25" ht="20">
      <c r="B134" s="733">
        <v>8</v>
      </c>
      <c r="C134" s="734" t="str">
        <f>IFERROR(INDEX('Summary of Results'!$B:$B, MATCH(B134, 'Summary of Results'!$A:$A, 0)), NA())</f>
        <v>Negative electrode areal capacity, mAh/cm²</v>
      </c>
      <c r="D134" s="788">
        <f ca="1">IF(IFERROR(IF($C$77 = "Absolute", INDEX('Summary of Results'!G:G, MATCH($B134, 'Summary of Results'!$A:$A, 0)), (INDEX('Summary of Results'!G:G, MATCH($B134, 'Summary of Results'!$A:$A, 0))/INDEX('Summary of Results'!$G:$G, MATCH($B134, 'Summary of Results'!$A:$A, 0)) - 1)*100), NA()) = "", "", IFERROR(IF($C$77 = "Absolute", INDEX('Summary of Results'!G:G, MATCH($B134, 'Summary of Results'!$A:$A, 0)), (INDEX('Summary of Results'!G:G, MATCH($B134, 'Summary of Results'!$A:$A, 0))/INDEX('Summary of Results'!$G:$G, MATCH($B134, 'Summary of Results'!$A:$A, 0)) - 1)*100), NA()))</f>
        <v>5.1750435744581758</v>
      </c>
      <c r="E134" s="788">
        <f ca="1">IF(IFERROR(IF($C$77 = "Absolute", INDEX('Summary of Results'!H:H, MATCH($B134, 'Summary of Results'!$A:$A, 0)), (INDEX('Summary of Results'!H:H, MATCH($B134, 'Summary of Results'!$A:$A, 0))/INDEX('Summary of Results'!$G:$G, MATCH($B134, 'Summary of Results'!$A:$A, 0)) - 1)*100), NA()) = "", "", IFERROR(IF($C$77 = "Absolute", INDEX('Summary of Results'!H:H, MATCH($B134, 'Summary of Results'!$A:$A, 0)), (INDEX('Summary of Results'!H:H, MATCH($B134, 'Summary of Results'!$A:$A, 0))/INDEX('Summary of Results'!$G:$G, MATCH($B134, 'Summary of Results'!$A:$A, 0)) - 1)*100), NA()))</f>
        <v>5.1750435744581758</v>
      </c>
      <c r="F134" s="788">
        <f ca="1">IF(IFERROR(IF($C$77 = "Absolute", INDEX('Summary of Results'!I:I, MATCH($B134, 'Summary of Results'!$A:$A, 0)), (INDEX('Summary of Results'!I:I, MATCH($B134, 'Summary of Results'!$A:$A, 0))/INDEX('Summary of Results'!$G:$G, MATCH($B134, 'Summary of Results'!$A:$A, 0)) - 1)*100), NA()) = "", "", IFERROR(IF($C$77 = "Absolute", INDEX('Summary of Results'!I:I, MATCH($B134, 'Summary of Results'!$A:$A, 0)), (INDEX('Summary of Results'!I:I, MATCH($B134, 'Summary of Results'!$A:$A, 0))/INDEX('Summary of Results'!$G:$G, MATCH($B134, 'Summary of Results'!$A:$A, 0)) - 1)*100), NA()))</f>
        <v>5.1750435744581758</v>
      </c>
      <c r="G134" s="788">
        <f ca="1">IF(IFERROR(IF($C$77 = "Absolute", INDEX('Summary of Results'!J:J, MATCH($B134, 'Summary of Results'!$A:$A, 0)), (INDEX('Summary of Results'!J:J, MATCH($B134, 'Summary of Results'!$A:$A, 0))/INDEX('Summary of Results'!$G:$G, MATCH($B134, 'Summary of Results'!$A:$A, 0)) - 1)*100), NA()) = "", "", IFERROR(IF($C$77 = "Absolute", INDEX('Summary of Results'!J:J, MATCH($B134, 'Summary of Results'!$A:$A, 0)), (INDEX('Summary of Results'!J:J, MATCH($B134, 'Summary of Results'!$A:$A, 0))/INDEX('Summary of Results'!$G:$G, MATCH($B134, 'Summary of Results'!$A:$A, 0)) - 1)*100), NA()))</f>
        <v>5.1750435744581758</v>
      </c>
      <c r="H134" s="788">
        <f ca="1">IF(IFERROR(IF($C$77 = "Absolute", INDEX('Summary of Results'!K:K, MATCH($B134, 'Summary of Results'!$A:$A, 0)), (INDEX('Summary of Results'!K:K, MATCH($B134, 'Summary of Results'!$A:$A, 0))/INDEX('Summary of Results'!$G:$G, MATCH($B134, 'Summary of Results'!$A:$A, 0)) - 1)*100), NA()) = "", "", IFERROR(IF($C$77 = "Absolute", INDEX('Summary of Results'!K:K, MATCH($B134, 'Summary of Results'!$A:$A, 0)), (INDEX('Summary of Results'!K:K, MATCH($B134, 'Summary of Results'!$A:$A, 0))/INDEX('Summary of Results'!$G:$G, MATCH($B134, 'Summary of Results'!$A:$A, 0)) - 1)*100), NA()))</f>
        <v>5.1750435744581758</v>
      </c>
      <c r="I134" s="788">
        <f ca="1">IF(IFERROR(IF($C$77 = "Absolute", INDEX('Summary of Results'!L:L, MATCH($B134, 'Summary of Results'!$A:$A, 0)), (INDEX('Summary of Results'!L:L, MATCH($B134, 'Summary of Results'!$A:$A, 0))/INDEX('Summary of Results'!$G:$G, MATCH($B134, 'Summary of Results'!$A:$A, 0)) - 1)*100), NA()) = "", "", IFERROR(IF($C$77 = "Absolute", INDEX('Summary of Results'!L:L, MATCH($B134, 'Summary of Results'!$A:$A, 0)), (INDEX('Summary of Results'!L:L, MATCH($B134, 'Summary of Results'!$A:$A, 0))/INDEX('Summary of Results'!$G:$G, MATCH($B134, 'Summary of Results'!$A:$A, 0)) - 1)*100), NA()))</f>
        <v>5.1750435744581758</v>
      </c>
      <c r="J134" s="788">
        <f ca="1">IF(IFERROR(IF($C$77 = "Absolute", INDEX('Summary of Results'!M:M, MATCH($B134, 'Summary of Results'!$A:$A, 0)), (INDEX('Summary of Results'!M:M, MATCH($B134, 'Summary of Results'!$A:$A, 0))/INDEX('Summary of Results'!$G:$G, MATCH($B134, 'Summary of Results'!$A:$A, 0)) - 1)*100), NA()) = "", "", IFERROR(IF($C$77 = "Absolute", INDEX('Summary of Results'!M:M, MATCH($B134, 'Summary of Results'!$A:$A, 0)), (INDEX('Summary of Results'!M:M, MATCH($B134, 'Summary of Results'!$A:$A, 0))/INDEX('Summary of Results'!$G:$G, MATCH($B134, 'Summary of Results'!$A:$A, 0)) - 1)*100), NA()))</f>
        <v>5.1750435744581758</v>
      </c>
      <c r="K134"/>
      <c r="L134"/>
      <c r="M134"/>
      <c r="N134"/>
      <c r="O134"/>
      <c r="P134"/>
      <c r="Q134"/>
      <c r="R134" s="256"/>
      <c r="S134" s="256"/>
      <c r="T134" s="256"/>
      <c r="U134" s="256"/>
      <c r="V134" s="256"/>
      <c r="W134" s="256"/>
      <c r="X134" s="256"/>
      <c r="Y134" s="256"/>
    </row>
    <row r="135" spans="1:25" ht="20">
      <c r="B135" s="733">
        <v>9</v>
      </c>
      <c r="C135" s="734" t="str">
        <f>IFERROR(INDEX('Summary of Results'!$B:$B, MATCH(B135, 'Summary of Results'!$A:$A, 0)), NA())</f>
        <v>Cell capacity, Ah</v>
      </c>
      <c r="D135" s="788">
        <f ca="1">IF(IFERROR(IF($C$77 = "Absolute", INDEX('Summary of Results'!G:G, MATCH($B135, 'Summary of Results'!$A:$A, 0)), (INDEX('Summary of Results'!G:G, MATCH($B135, 'Summary of Results'!$A:$A, 0))/INDEX('Summary of Results'!$G:$G, MATCH($B135, 'Summary of Results'!$A:$A, 0)) - 1)*100), NA()) = "", "", IFERROR(IF($C$77 = "Absolute", INDEX('Summary of Results'!G:G, MATCH($B135, 'Summary of Results'!$A:$A, 0)), (INDEX('Summary of Results'!G:G, MATCH($B135, 'Summary of Results'!$A:$A, 0))/INDEX('Summary of Results'!$G:$G, MATCH($B135, 'Summary of Results'!$A:$A, 0)) - 1)*100), NA()))</f>
        <v>77.35058609741661</v>
      </c>
      <c r="E135" s="788">
        <f ca="1">IF(IFERROR(IF($C$77 = "Absolute", INDEX('Summary of Results'!H:H, MATCH($B135, 'Summary of Results'!$A:$A, 0)), (INDEX('Summary of Results'!H:H, MATCH($B135, 'Summary of Results'!$A:$A, 0))/INDEX('Summary of Results'!$G:$G, MATCH($B135, 'Summary of Results'!$A:$A, 0)) - 1)*100), NA()) = "", "", IFERROR(IF($C$77 = "Absolute", INDEX('Summary of Results'!H:H, MATCH($B135, 'Summary of Results'!$A:$A, 0)), (INDEX('Summary of Results'!H:H, MATCH($B135, 'Summary of Results'!$A:$A, 0))/INDEX('Summary of Results'!$G:$G, MATCH($B135, 'Summary of Results'!$A:$A, 0)) - 1)*100), NA()))</f>
        <v>77.35058609741661</v>
      </c>
      <c r="F135" s="788">
        <f ca="1">IF(IFERROR(IF($C$77 = "Absolute", INDEX('Summary of Results'!I:I, MATCH($B135, 'Summary of Results'!$A:$A, 0)), (INDEX('Summary of Results'!I:I, MATCH($B135, 'Summary of Results'!$A:$A, 0))/INDEX('Summary of Results'!$G:$G, MATCH($B135, 'Summary of Results'!$A:$A, 0)) - 1)*100), NA()) = "", "", IFERROR(IF($C$77 = "Absolute", INDEX('Summary of Results'!I:I, MATCH($B135, 'Summary of Results'!$A:$A, 0)), (INDEX('Summary of Results'!I:I, MATCH($B135, 'Summary of Results'!$A:$A, 0))/INDEX('Summary of Results'!$G:$G, MATCH($B135, 'Summary of Results'!$A:$A, 0)) - 1)*100), NA()))</f>
        <v>77.35058609741661</v>
      </c>
      <c r="G135" s="788">
        <f ca="1">IF(IFERROR(IF($C$77 = "Absolute", INDEX('Summary of Results'!J:J, MATCH($B135, 'Summary of Results'!$A:$A, 0)), (INDEX('Summary of Results'!J:J, MATCH($B135, 'Summary of Results'!$A:$A, 0))/INDEX('Summary of Results'!$G:$G, MATCH($B135, 'Summary of Results'!$A:$A, 0)) - 1)*100), NA()) = "", "", IFERROR(IF($C$77 = "Absolute", INDEX('Summary of Results'!J:J, MATCH($B135, 'Summary of Results'!$A:$A, 0)), (INDEX('Summary of Results'!J:J, MATCH($B135, 'Summary of Results'!$A:$A, 0))/INDEX('Summary of Results'!$G:$G, MATCH($B135, 'Summary of Results'!$A:$A, 0)) - 1)*100), NA()))</f>
        <v>77.35058609741661</v>
      </c>
      <c r="H135" s="788">
        <f ca="1">IF(IFERROR(IF($C$77 = "Absolute", INDEX('Summary of Results'!K:K, MATCH($B135, 'Summary of Results'!$A:$A, 0)), (INDEX('Summary of Results'!K:K, MATCH($B135, 'Summary of Results'!$A:$A, 0))/INDEX('Summary of Results'!$G:$G, MATCH($B135, 'Summary of Results'!$A:$A, 0)) - 1)*100), NA()) = "", "", IFERROR(IF($C$77 = "Absolute", INDEX('Summary of Results'!K:K, MATCH($B135, 'Summary of Results'!$A:$A, 0)), (INDEX('Summary of Results'!K:K, MATCH($B135, 'Summary of Results'!$A:$A, 0))/INDEX('Summary of Results'!$G:$G, MATCH($B135, 'Summary of Results'!$A:$A, 0)) - 1)*100), NA()))</f>
        <v>77.35058609741661</v>
      </c>
      <c r="I135" s="788">
        <f ca="1">IF(IFERROR(IF($C$77 = "Absolute", INDEX('Summary of Results'!L:L, MATCH($B135, 'Summary of Results'!$A:$A, 0)), (INDEX('Summary of Results'!L:L, MATCH($B135, 'Summary of Results'!$A:$A, 0))/INDEX('Summary of Results'!$G:$G, MATCH($B135, 'Summary of Results'!$A:$A, 0)) - 1)*100), NA()) = "", "", IFERROR(IF($C$77 = "Absolute", INDEX('Summary of Results'!L:L, MATCH($B135, 'Summary of Results'!$A:$A, 0)), (INDEX('Summary of Results'!L:L, MATCH($B135, 'Summary of Results'!$A:$A, 0))/INDEX('Summary of Results'!$G:$G, MATCH($B135, 'Summary of Results'!$A:$A, 0)) - 1)*100), NA()))</f>
        <v>77.35058609741661</v>
      </c>
      <c r="J135" s="788">
        <f ca="1">IF(IFERROR(IF($C$77 = "Absolute", INDEX('Summary of Results'!M:M, MATCH($B135, 'Summary of Results'!$A:$A, 0)), (INDEX('Summary of Results'!M:M, MATCH($B135, 'Summary of Results'!$A:$A, 0))/INDEX('Summary of Results'!$G:$G, MATCH($B135, 'Summary of Results'!$A:$A, 0)) - 1)*100), NA()) = "", "", IFERROR(IF($C$77 = "Absolute", INDEX('Summary of Results'!M:M, MATCH($B135, 'Summary of Results'!$A:$A, 0)), (INDEX('Summary of Results'!M:M, MATCH($B135, 'Summary of Results'!$A:$A, 0))/INDEX('Summary of Results'!$G:$G, MATCH($B135, 'Summary of Results'!$A:$A, 0)) - 1)*100), NA()))</f>
        <v>77.35058609741661</v>
      </c>
      <c r="K135"/>
      <c r="L135"/>
      <c r="M135"/>
      <c r="N135"/>
      <c r="O135"/>
      <c r="P135"/>
      <c r="Q135"/>
      <c r="R135" s="256"/>
      <c r="S135" s="256"/>
      <c r="T135" s="256"/>
      <c r="U135" s="256"/>
      <c r="V135" s="256"/>
      <c r="W135" s="256"/>
      <c r="X135" s="256"/>
      <c r="Y135" s="256"/>
    </row>
    <row r="136" spans="1:25" ht="20">
      <c r="B136" s="733">
        <v>10</v>
      </c>
      <c r="C136" s="734" t="str">
        <f>IFERROR(INDEX('Summary of Results'!$B:$B, MATCH(B136, 'Summary of Results'!$A:$A, 0)), NA())</f>
        <v>Module mass, kg</v>
      </c>
      <c r="D136" s="788">
        <f ca="1">IF(IFERROR(IF($C$77 = "Absolute", INDEX('Summary of Results'!G:G, MATCH($B136, 'Summary of Results'!$A:$A, 0)), (INDEX('Summary of Results'!G:G, MATCH($B136, 'Summary of Results'!$A:$A, 0))/INDEX('Summary of Results'!$G:$G, MATCH($B136, 'Summary of Results'!$A:$A, 0)) - 1)*100), NA()) = "", "", IFERROR(IF($C$77 = "Absolute", INDEX('Summary of Results'!G:G, MATCH($B136, 'Summary of Results'!$A:$A, 0)), (INDEX('Summary of Results'!G:G, MATCH($B136, 'Summary of Results'!$A:$A, 0))/INDEX('Summary of Results'!$G:$G, MATCH($B136, 'Summary of Results'!$A:$A, 0)) - 1)*100), NA()))</f>
        <v>22.70184826660379</v>
      </c>
      <c r="E136" s="788">
        <f ca="1">IF(IFERROR(IF($C$77 = "Absolute", INDEX('Summary of Results'!H:H, MATCH($B136, 'Summary of Results'!$A:$A, 0)), (INDEX('Summary of Results'!H:H, MATCH($B136, 'Summary of Results'!$A:$A, 0))/INDEX('Summary of Results'!$G:$G, MATCH($B136, 'Summary of Results'!$A:$A, 0)) - 1)*100), NA()) = "", "", IFERROR(IF($C$77 = "Absolute", INDEX('Summary of Results'!H:H, MATCH($B136, 'Summary of Results'!$A:$A, 0)), (INDEX('Summary of Results'!H:H, MATCH($B136, 'Summary of Results'!$A:$A, 0))/INDEX('Summary of Results'!$G:$G, MATCH($B136, 'Summary of Results'!$A:$A, 0)) - 1)*100), NA()))</f>
        <v>22.70184826660379</v>
      </c>
      <c r="F136" s="788">
        <f ca="1">IF(IFERROR(IF($C$77 = "Absolute", INDEX('Summary of Results'!I:I, MATCH($B136, 'Summary of Results'!$A:$A, 0)), (INDEX('Summary of Results'!I:I, MATCH($B136, 'Summary of Results'!$A:$A, 0))/INDEX('Summary of Results'!$G:$G, MATCH($B136, 'Summary of Results'!$A:$A, 0)) - 1)*100), NA()) = "", "", IFERROR(IF($C$77 = "Absolute", INDEX('Summary of Results'!I:I, MATCH($B136, 'Summary of Results'!$A:$A, 0)), (INDEX('Summary of Results'!I:I, MATCH($B136, 'Summary of Results'!$A:$A, 0))/INDEX('Summary of Results'!$G:$G, MATCH($B136, 'Summary of Results'!$A:$A, 0)) - 1)*100), NA()))</f>
        <v>22.70184826660379</v>
      </c>
      <c r="G136" s="788">
        <f ca="1">IF(IFERROR(IF($C$77 = "Absolute", INDEX('Summary of Results'!J:J, MATCH($B136, 'Summary of Results'!$A:$A, 0)), (INDEX('Summary of Results'!J:J, MATCH($B136, 'Summary of Results'!$A:$A, 0))/INDEX('Summary of Results'!$G:$G, MATCH($B136, 'Summary of Results'!$A:$A, 0)) - 1)*100), NA()) = "", "", IFERROR(IF($C$77 = "Absolute", INDEX('Summary of Results'!J:J, MATCH($B136, 'Summary of Results'!$A:$A, 0)), (INDEX('Summary of Results'!J:J, MATCH($B136, 'Summary of Results'!$A:$A, 0))/INDEX('Summary of Results'!$G:$G, MATCH($B136, 'Summary of Results'!$A:$A, 0)) - 1)*100), NA()))</f>
        <v>22.70184826660379</v>
      </c>
      <c r="H136" s="788">
        <f ca="1">IF(IFERROR(IF($C$77 = "Absolute", INDEX('Summary of Results'!K:K, MATCH($B136, 'Summary of Results'!$A:$A, 0)), (INDEX('Summary of Results'!K:K, MATCH($B136, 'Summary of Results'!$A:$A, 0))/INDEX('Summary of Results'!$G:$G, MATCH($B136, 'Summary of Results'!$A:$A, 0)) - 1)*100), NA()) = "", "", IFERROR(IF($C$77 = "Absolute", INDEX('Summary of Results'!K:K, MATCH($B136, 'Summary of Results'!$A:$A, 0)), (INDEX('Summary of Results'!K:K, MATCH($B136, 'Summary of Results'!$A:$A, 0))/INDEX('Summary of Results'!$G:$G, MATCH($B136, 'Summary of Results'!$A:$A, 0)) - 1)*100), NA()))</f>
        <v>22.70184826660379</v>
      </c>
      <c r="I136" s="788">
        <f ca="1">IF(IFERROR(IF($C$77 = "Absolute", INDEX('Summary of Results'!L:L, MATCH($B136, 'Summary of Results'!$A:$A, 0)), (INDEX('Summary of Results'!L:L, MATCH($B136, 'Summary of Results'!$A:$A, 0))/INDEX('Summary of Results'!$G:$G, MATCH($B136, 'Summary of Results'!$A:$A, 0)) - 1)*100), NA()) = "", "", IFERROR(IF($C$77 = "Absolute", INDEX('Summary of Results'!L:L, MATCH($B136, 'Summary of Results'!$A:$A, 0)), (INDEX('Summary of Results'!L:L, MATCH($B136, 'Summary of Results'!$A:$A, 0))/INDEX('Summary of Results'!$G:$G, MATCH($B136, 'Summary of Results'!$A:$A, 0)) - 1)*100), NA()))</f>
        <v>22.70184826660379</v>
      </c>
      <c r="J136" s="788">
        <f ca="1">IF(IFERROR(IF($C$77 = "Absolute", INDEX('Summary of Results'!M:M, MATCH($B136, 'Summary of Results'!$A:$A, 0)), (INDEX('Summary of Results'!M:M, MATCH($B136, 'Summary of Results'!$A:$A, 0))/INDEX('Summary of Results'!$G:$G, MATCH($B136, 'Summary of Results'!$A:$A, 0)) - 1)*100), NA()) = "", "", IFERROR(IF($C$77 = "Absolute", INDEX('Summary of Results'!M:M, MATCH($B136, 'Summary of Results'!$A:$A, 0)), (INDEX('Summary of Results'!M:M, MATCH($B136, 'Summary of Results'!$A:$A, 0))/INDEX('Summary of Results'!$G:$G, MATCH($B136, 'Summary of Results'!$A:$A, 0)) - 1)*100), NA()))</f>
        <v>22.70184826660379</v>
      </c>
      <c r="K136"/>
      <c r="L136"/>
      <c r="M136"/>
      <c r="N136"/>
      <c r="O136"/>
      <c r="P136"/>
      <c r="Q136"/>
      <c r="R136" s="256"/>
      <c r="S136" s="256"/>
      <c r="T136" s="256"/>
      <c r="U136" s="256"/>
      <c r="V136" s="256"/>
      <c r="W136" s="256"/>
      <c r="X136" s="256"/>
      <c r="Y136" s="256"/>
    </row>
    <row r="137" spans="1:25" ht="20">
      <c r="B137" s="733">
        <v>11</v>
      </c>
      <c r="C137" s="734" t="str">
        <f>IFERROR(INDEX('Summary of Results'!$B:$B, MATCH(B137, 'Summary of Results'!$A:$A, 0)), NA())</f>
        <v>Number of cells per pack</v>
      </c>
      <c r="D137" s="788">
        <f>IF(IFERROR(IF($C$77 = "Absolute", INDEX('Summary of Results'!G:G, MATCH($B137, 'Summary of Results'!$A:$A, 0)), (INDEX('Summary of Results'!G:G, MATCH($B137, 'Summary of Results'!$A:$A, 0))/INDEX('Summary of Results'!$G:$G, MATCH($B137, 'Summary of Results'!$A:$A, 0)) - 1)*100), NA()) = "", "", IFERROR(IF($C$77 = "Absolute", INDEX('Summary of Results'!G:G, MATCH($B137, 'Summary of Results'!$A:$A, 0)), (INDEX('Summary of Results'!G:G, MATCH($B137, 'Summary of Results'!$A:$A, 0))/INDEX('Summary of Results'!$G:$G, MATCH($B137, 'Summary of Results'!$A:$A, 0)) - 1)*100), NA()))</f>
        <v>400</v>
      </c>
      <c r="E137" s="788">
        <f>IF(IFERROR(IF($C$77 = "Absolute", INDEX('Summary of Results'!H:H, MATCH($B137, 'Summary of Results'!$A:$A, 0)), (INDEX('Summary of Results'!H:H, MATCH($B137, 'Summary of Results'!$A:$A, 0))/INDEX('Summary of Results'!$G:$G, MATCH($B137, 'Summary of Results'!$A:$A, 0)) - 1)*100), NA()) = "", "", IFERROR(IF($C$77 = "Absolute", INDEX('Summary of Results'!H:H, MATCH($B137, 'Summary of Results'!$A:$A, 0)), (INDEX('Summary of Results'!H:H, MATCH($B137, 'Summary of Results'!$A:$A, 0))/INDEX('Summary of Results'!$G:$G, MATCH($B137, 'Summary of Results'!$A:$A, 0)) - 1)*100), NA()))</f>
        <v>400</v>
      </c>
      <c r="F137" s="788">
        <f>IF(IFERROR(IF($C$77 = "Absolute", INDEX('Summary of Results'!I:I, MATCH($B137, 'Summary of Results'!$A:$A, 0)), (INDEX('Summary of Results'!I:I, MATCH($B137, 'Summary of Results'!$A:$A, 0))/INDEX('Summary of Results'!$G:$G, MATCH($B137, 'Summary of Results'!$A:$A, 0)) - 1)*100), NA()) = "", "", IFERROR(IF($C$77 = "Absolute", INDEX('Summary of Results'!I:I, MATCH($B137, 'Summary of Results'!$A:$A, 0)), (INDEX('Summary of Results'!I:I, MATCH($B137, 'Summary of Results'!$A:$A, 0))/INDEX('Summary of Results'!$G:$G, MATCH($B137, 'Summary of Results'!$A:$A, 0)) - 1)*100), NA()))</f>
        <v>400</v>
      </c>
      <c r="G137" s="788">
        <f>IF(IFERROR(IF($C$77 = "Absolute", INDEX('Summary of Results'!J:J, MATCH($B137, 'Summary of Results'!$A:$A, 0)), (INDEX('Summary of Results'!J:J, MATCH($B137, 'Summary of Results'!$A:$A, 0))/INDEX('Summary of Results'!$G:$G, MATCH($B137, 'Summary of Results'!$A:$A, 0)) - 1)*100), NA()) = "", "", IFERROR(IF($C$77 = "Absolute", INDEX('Summary of Results'!J:J, MATCH($B137, 'Summary of Results'!$A:$A, 0)), (INDEX('Summary of Results'!J:J, MATCH($B137, 'Summary of Results'!$A:$A, 0))/INDEX('Summary of Results'!$G:$G, MATCH($B137, 'Summary of Results'!$A:$A, 0)) - 1)*100), NA()))</f>
        <v>400</v>
      </c>
      <c r="H137" s="788">
        <f>IF(IFERROR(IF($C$77 = "Absolute", INDEX('Summary of Results'!K:K, MATCH($B137, 'Summary of Results'!$A:$A, 0)), (INDEX('Summary of Results'!K:K, MATCH($B137, 'Summary of Results'!$A:$A, 0))/INDEX('Summary of Results'!$G:$G, MATCH($B137, 'Summary of Results'!$A:$A, 0)) - 1)*100), NA()) = "", "", IFERROR(IF($C$77 = "Absolute", INDEX('Summary of Results'!K:K, MATCH($B137, 'Summary of Results'!$A:$A, 0)), (INDEX('Summary of Results'!K:K, MATCH($B137, 'Summary of Results'!$A:$A, 0))/INDEX('Summary of Results'!$G:$G, MATCH($B137, 'Summary of Results'!$A:$A, 0)) - 1)*100), NA()))</f>
        <v>400</v>
      </c>
      <c r="I137" s="788">
        <f>IF(IFERROR(IF($C$77 = "Absolute", INDEX('Summary of Results'!L:L, MATCH($B137, 'Summary of Results'!$A:$A, 0)), (INDEX('Summary of Results'!L:L, MATCH($B137, 'Summary of Results'!$A:$A, 0))/INDEX('Summary of Results'!$G:$G, MATCH($B137, 'Summary of Results'!$A:$A, 0)) - 1)*100), NA()) = "", "", IFERROR(IF($C$77 = "Absolute", INDEX('Summary of Results'!L:L, MATCH($B137, 'Summary of Results'!$A:$A, 0)), (INDEX('Summary of Results'!L:L, MATCH($B137, 'Summary of Results'!$A:$A, 0))/INDEX('Summary of Results'!$G:$G, MATCH($B137, 'Summary of Results'!$A:$A, 0)) - 1)*100), NA()))</f>
        <v>400</v>
      </c>
      <c r="J137" s="788">
        <f>IF(IFERROR(IF($C$77 = "Absolute", INDEX('Summary of Results'!M:M, MATCH($B137, 'Summary of Results'!$A:$A, 0)), (INDEX('Summary of Results'!M:M, MATCH($B137, 'Summary of Results'!$A:$A, 0))/INDEX('Summary of Results'!$G:$G, MATCH($B137, 'Summary of Results'!$A:$A, 0)) - 1)*100), NA()) = "", "", IFERROR(IF($C$77 = "Absolute", INDEX('Summary of Results'!M:M, MATCH($B137, 'Summary of Results'!$A:$A, 0)), (INDEX('Summary of Results'!M:M, MATCH($B137, 'Summary of Results'!$A:$A, 0))/INDEX('Summary of Results'!$G:$G, MATCH($B137, 'Summary of Results'!$A:$A, 0)) - 1)*100), NA()))</f>
        <v>400</v>
      </c>
      <c r="K137"/>
      <c r="L137"/>
      <c r="M137"/>
      <c r="N137"/>
      <c r="O137"/>
      <c r="P137"/>
      <c r="Q137"/>
      <c r="R137" s="256"/>
      <c r="S137" s="256"/>
      <c r="T137" s="256"/>
      <c r="U137" s="256"/>
      <c r="V137" s="256"/>
      <c r="W137" s="256"/>
      <c r="X137" s="256"/>
      <c r="Y137" s="256"/>
    </row>
    <row r="138" spans="1:25" ht="20">
      <c r="B138" s="733">
        <v>12</v>
      </c>
      <c r="C138" s="734" t="str">
        <f>IFERROR(INDEX('Summary of Results'!$B:$B, MATCH(B138, 'Summary of Results'!$A:$A, 0)), NA())</f>
        <v>Nominal battery system voltage (OCV at 50% SOC), V</v>
      </c>
      <c r="D138" s="788">
        <f>IF(IFERROR(IF($C$77 = "Absolute", INDEX('Summary of Results'!G:G, MATCH($B138, 'Summary of Results'!$A:$A, 0)), (INDEX('Summary of Results'!G:G, MATCH($B138, 'Summary of Results'!$A:$A, 0))/INDEX('Summary of Results'!$G:$G, MATCH($B138, 'Summary of Results'!$A:$A, 0)) - 1)*100), NA()) = "", "", IFERROR(IF($C$77 = "Absolute", INDEX('Summary of Results'!G:G, MATCH($B138, 'Summary of Results'!$A:$A, 0)), (INDEX('Summary of Results'!G:G, MATCH($B138, 'Summary of Results'!$A:$A, 0))/INDEX('Summary of Results'!$G:$G, MATCH($B138, 'Summary of Results'!$A:$A, 0)) - 1)*100), NA()))</f>
        <v>328.2</v>
      </c>
      <c r="E138" s="788">
        <f>IF(IFERROR(IF($C$77 = "Absolute", INDEX('Summary of Results'!H:H, MATCH($B138, 'Summary of Results'!$A:$A, 0)), (INDEX('Summary of Results'!H:H, MATCH($B138, 'Summary of Results'!$A:$A, 0))/INDEX('Summary of Results'!$G:$G, MATCH($B138, 'Summary of Results'!$A:$A, 0)) - 1)*100), NA()) = "", "", IFERROR(IF($C$77 = "Absolute", INDEX('Summary of Results'!H:H, MATCH($B138, 'Summary of Results'!$A:$A, 0)), (INDEX('Summary of Results'!H:H, MATCH($B138, 'Summary of Results'!$A:$A, 0))/INDEX('Summary of Results'!$G:$G, MATCH($B138, 'Summary of Results'!$A:$A, 0)) - 1)*100), NA()))</f>
        <v>328.2</v>
      </c>
      <c r="F138" s="788">
        <f>IF(IFERROR(IF($C$77 = "Absolute", INDEX('Summary of Results'!I:I, MATCH($B138, 'Summary of Results'!$A:$A, 0)), (INDEX('Summary of Results'!I:I, MATCH($B138, 'Summary of Results'!$A:$A, 0))/INDEX('Summary of Results'!$G:$G, MATCH($B138, 'Summary of Results'!$A:$A, 0)) - 1)*100), NA()) = "", "", IFERROR(IF($C$77 = "Absolute", INDEX('Summary of Results'!I:I, MATCH($B138, 'Summary of Results'!$A:$A, 0)), (INDEX('Summary of Results'!I:I, MATCH($B138, 'Summary of Results'!$A:$A, 0))/INDEX('Summary of Results'!$G:$G, MATCH($B138, 'Summary of Results'!$A:$A, 0)) - 1)*100), NA()))</f>
        <v>328.2</v>
      </c>
      <c r="G138" s="788">
        <f>IF(IFERROR(IF($C$77 = "Absolute", INDEX('Summary of Results'!J:J, MATCH($B138, 'Summary of Results'!$A:$A, 0)), (INDEX('Summary of Results'!J:J, MATCH($B138, 'Summary of Results'!$A:$A, 0))/INDEX('Summary of Results'!$G:$G, MATCH($B138, 'Summary of Results'!$A:$A, 0)) - 1)*100), NA()) = "", "", IFERROR(IF($C$77 = "Absolute", INDEX('Summary of Results'!J:J, MATCH($B138, 'Summary of Results'!$A:$A, 0)), (INDEX('Summary of Results'!J:J, MATCH($B138, 'Summary of Results'!$A:$A, 0))/INDEX('Summary of Results'!$G:$G, MATCH($B138, 'Summary of Results'!$A:$A, 0)) - 1)*100), NA()))</f>
        <v>328.2</v>
      </c>
      <c r="H138" s="788">
        <f>IF(IFERROR(IF($C$77 = "Absolute", INDEX('Summary of Results'!K:K, MATCH($B138, 'Summary of Results'!$A:$A, 0)), (INDEX('Summary of Results'!K:K, MATCH($B138, 'Summary of Results'!$A:$A, 0))/INDEX('Summary of Results'!$G:$G, MATCH($B138, 'Summary of Results'!$A:$A, 0)) - 1)*100), NA()) = "", "", IFERROR(IF($C$77 = "Absolute", INDEX('Summary of Results'!K:K, MATCH($B138, 'Summary of Results'!$A:$A, 0)), (INDEX('Summary of Results'!K:K, MATCH($B138, 'Summary of Results'!$A:$A, 0))/INDEX('Summary of Results'!$G:$G, MATCH($B138, 'Summary of Results'!$A:$A, 0)) - 1)*100), NA()))</f>
        <v>328.2</v>
      </c>
      <c r="I138" s="788">
        <f>IF(IFERROR(IF($C$77 = "Absolute", INDEX('Summary of Results'!L:L, MATCH($B138, 'Summary of Results'!$A:$A, 0)), (INDEX('Summary of Results'!L:L, MATCH($B138, 'Summary of Results'!$A:$A, 0))/INDEX('Summary of Results'!$G:$G, MATCH($B138, 'Summary of Results'!$A:$A, 0)) - 1)*100), NA()) = "", "", IFERROR(IF($C$77 = "Absolute", INDEX('Summary of Results'!L:L, MATCH($B138, 'Summary of Results'!$A:$A, 0)), (INDEX('Summary of Results'!L:L, MATCH($B138, 'Summary of Results'!$A:$A, 0))/INDEX('Summary of Results'!$G:$G, MATCH($B138, 'Summary of Results'!$A:$A, 0)) - 1)*100), NA()))</f>
        <v>328.2</v>
      </c>
      <c r="J138" s="788">
        <f>IF(IFERROR(IF($C$77 = "Absolute", INDEX('Summary of Results'!M:M, MATCH($B138, 'Summary of Results'!$A:$A, 0)), (INDEX('Summary of Results'!M:M, MATCH($B138, 'Summary of Results'!$A:$A, 0))/INDEX('Summary of Results'!$G:$G, MATCH($B138, 'Summary of Results'!$A:$A, 0)) - 1)*100), NA()) = "", "", IFERROR(IF($C$77 = "Absolute", INDEX('Summary of Results'!M:M, MATCH($B138, 'Summary of Results'!$A:$A, 0)), (INDEX('Summary of Results'!M:M, MATCH($B138, 'Summary of Results'!$A:$A, 0))/INDEX('Summary of Results'!$G:$G, MATCH($B138, 'Summary of Results'!$A:$A, 0)) - 1)*100), NA()))</f>
        <v>328.2</v>
      </c>
      <c r="K138"/>
      <c r="L138"/>
      <c r="M138"/>
      <c r="N138"/>
      <c r="O138"/>
      <c r="P138"/>
      <c r="Q138"/>
      <c r="R138" s="256"/>
      <c r="S138" s="256"/>
      <c r="T138" s="256"/>
      <c r="U138" s="256"/>
      <c r="V138" s="256"/>
      <c r="W138" s="256"/>
      <c r="X138" s="256"/>
      <c r="Y138" s="256"/>
    </row>
    <row r="139" spans="1:25" ht="20">
      <c r="A139" s="14"/>
      <c r="B139" s="733">
        <v>13</v>
      </c>
      <c r="C139" s="734" t="str">
        <f>IFERROR(INDEX('Summary of Results'!$B:$B, MATCH(B139, 'Summary of Results'!$A:$A, 0)), NA())</f>
        <v>Cost of pack to OEM, $</v>
      </c>
      <c r="D139" s="788">
        <f ca="1">IF(IFERROR(IF($C$77 = "Absolute", INDEX('Summary of Results'!G:G, MATCH($B139, 'Summary of Results'!$A:$A, 0)), (INDEX('Summary of Results'!G:G, MATCH($B139, 'Summary of Results'!$A:$A, 0))/INDEX('Summary of Results'!$G:$G, MATCH($B139, 'Summary of Results'!$A:$A, 0)) - 1)*100), NA()) = "", "", IFERROR(IF($C$77 = "Absolute", INDEX('Summary of Results'!G:G, MATCH($B139, 'Summary of Results'!$A:$A, 0)), (INDEX('Summary of Results'!G:G, MATCH($B139, 'Summary of Results'!$A:$A, 0))/INDEX('Summary of Results'!$G:$G, MATCH($B139, 'Summary of Results'!$A:$A, 0)) - 1)*100), NA()))</f>
        <v>26944.193195629876</v>
      </c>
      <c r="E139" s="788">
        <f ca="1">IF(IFERROR(IF($C$77 = "Absolute", INDEX('Summary of Results'!H:H, MATCH($B139, 'Summary of Results'!$A:$A, 0)), (INDEX('Summary of Results'!H:H, MATCH($B139, 'Summary of Results'!$A:$A, 0))/INDEX('Summary of Results'!$G:$G, MATCH($B139, 'Summary of Results'!$A:$A, 0)) - 1)*100), NA()) = "", "", IFERROR(IF($C$77 = "Absolute", INDEX('Summary of Results'!H:H, MATCH($B139, 'Summary of Results'!$A:$A, 0)), (INDEX('Summary of Results'!H:H, MATCH($B139, 'Summary of Results'!$A:$A, 0))/INDEX('Summary of Results'!$G:$G, MATCH($B139, 'Summary of Results'!$A:$A, 0)) - 1)*100), NA()))</f>
        <v>18422.624047093741</v>
      </c>
      <c r="F139" s="788">
        <f ca="1">IF(IFERROR(IF($C$77 = "Absolute", INDEX('Summary of Results'!I:I, MATCH($B139, 'Summary of Results'!$A:$A, 0)), (INDEX('Summary of Results'!I:I, MATCH($B139, 'Summary of Results'!$A:$A, 0))/INDEX('Summary of Results'!$G:$G, MATCH($B139, 'Summary of Results'!$A:$A, 0)) - 1)*100), NA()) = "", "", IFERROR(IF($C$77 = "Absolute", INDEX('Summary of Results'!I:I, MATCH($B139, 'Summary of Results'!$A:$A, 0)), (INDEX('Summary of Results'!I:I, MATCH($B139, 'Summary of Results'!$A:$A, 0))/INDEX('Summary of Results'!$G:$G, MATCH($B139, 'Summary of Results'!$A:$A, 0)) - 1)*100), NA()))</f>
        <v>17824.804550803652</v>
      </c>
      <c r="G139" s="788">
        <f ca="1">IF(IFERROR(IF($C$77 = "Absolute", INDEX('Summary of Results'!J:J, MATCH($B139, 'Summary of Results'!$A:$A, 0)), (INDEX('Summary of Results'!J:J, MATCH($B139, 'Summary of Results'!$A:$A, 0))/INDEX('Summary of Results'!$G:$G, MATCH($B139, 'Summary of Results'!$A:$A, 0)) - 1)*100), NA()) = "", "", IFERROR(IF($C$77 = "Absolute", INDEX('Summary of Results'!J:J, MATCH($B139, 'Summary of Results'!$A:$A, 0)), (INDEX('Summary of Results'!J:J, MATCH($B139, 'Summary of Results'!$A:$A, 0))/INDEX('Summary of Results'!$G:$G, MATCH($B139, 'Summary of Results'!$A:$A, 0)) - 1)*100), NA()))</f>
        <v>17446.415734650443</v>
      </c>
      <c r="H139" s="788">
        <f ca="1">IF(IFERROR(IF($C$77 = "Absolute", INDEX('Summary of Results'!K:K, MATCH($B139, 'Summary of Results'!$A:$A, 0)), (INDEX('Summary of Results'!K:K, MATCH($B139, 'Summary of Results'!$A:$A, 0))/INDEX('Summary of Results'!$G:$G, MATCH($B139, 'Summary of Results'!$A:$A, 0)) - 1)*100), NA()) = "", "", IFERROR(IF($C$77 = "Absolute", INDEX('Summary of Results'!K:K, MATCH($B139, 'Summary of Results'!$A:$A, 0)), (INDEX('Summary of Results'!K:K, MATCH($B139, 'Summary of Results'!$A:$A, 0))/INDEX('Summary of Results'!$G:$G, MATCH($B139, 'Summary of Results'!$A:$A, 0)) - 1)*100), NA()))</f>
        <v>17176.087098513712</v>
      </c>
      <c r="I139" s="788">
        <f ca="1">IF(IFERROR(IF($C$77 = "Absolute", INDEX('Summary of Results'!L:L, MATCH($B139, 'Summary of Results'!$A:$A, 0)), (INDEX('Summary of Results'!L:L, MATCH($B139, 'Summary of Results'!$A:$A, 0))/INDEX('Summary of Results'!$G:$G, MATCH($B139, 'Summary of Results'!$A:$A, 0)) - 1)*100), NA()) = "", "", IFERROR(IF($C$77 = "Absolute", INDEX('Summary of Results'!L:L, MATCH($B139, 'Summary of Results'!$A:$A, 0)), (INDEX('Summary of Results'!L:L, MATCH($B139, 'Summary of Results'!$A:$A, 0))/INDEX('Summary of Results'!$G:$G, MATCH($B139, 'Summary of Results'!$A:$A, 0)) - 1)*100), NA()))</f>
        <v>16730.918831208743</v>
      </c>
      <c r="J139" s="788">
        <f ca="1">IF(IFERROR(IF($C$77 = "Absolute", INDEX('Summary of Results'!M:M, MATCH($B139, 'Summary of Results'!$A:$A, 0)), (INDEX('Summary of Results'!M:M, MATCH($B139, 'Summary of Results'!$A:$A, 0))/INDEX('Summary of Results'!$G:$G, MATCH($B139, 'Summary of Results'!$A:$A, 0)) - 1)*100), NA()) = "", "", IFERROR(IF($C$77 = "Absolute", INDEX('Summary of Results'!M:M, MATCH($B139, 'Summary of Results'!$A:$A, 0)), (INDEX('Summary of Results'!M:M, MATCH($B139, 'Summary of Results'!$A:$A, 0))/INDEX('Summary of Results'!$G:$G, MATCH($B139, 'Summary of Results'!$A:$A, 0)) - 1)*100), NA()))</f>
        <v>16447.117072807363</v>
      </c>
      <c r="K139"/>
      <c r="L139"/>
      <c r="M139"/>
      <c r="N139"/>
      <c r="O139"/>
      <c r="P139"/>
      <c r="Q139"/>
      <c r="R139" s="256"/>
      <c r="S139" s="256"/>
      <c r="T139" s="256"/>
      <c r="U139" s="256"/>
      <c r="V139" s="256"/>
      <c r="W139" s="256"/>
      <c r="X139" s="256"/>
      <c r="Y139" s="256"/>
    </row>
    <row r="140" spans="1:25" ht="20">
      <c r="A140" s="14"/>
      <c r="B140" s="733">
        <v>14</v>
      </c>
      <c r="C140" s="734" t="str">
        <f>IFERROR(INDEX('Summary of Results'!$B:$B, MATCH(B140, 'Summary of Results'!$A:$A, 0)), NA())</f>
        <v>Pack total mass, kg</v>
      </c>
      <c r="D140" s="788">
        <f ca="1">IF(IFERROR(IF($C$77 = "Absolute", INDEX('Summary of Results'!G:G, MATCH($B140, 'Summary of Results'!$A:$A, 0)), (INDEX('Summary of Results'!G:G, MATCH($B140, 'Summary of Results'!$A:$A, 0))/INDEX('Summary of Results'!$G:$G, MATCH($B140, 'Summary of Results'!$A:$A, 0)) - 1)*100), NA()) = "", "", IFERROR(IF($C$77 = "Absolute", INDEX('Summary of Results'!G:G, MATCH($B140, 'Summary of Results'!$A:$A, 0)), (INDEX('Summary of Results'!G:G, MATCH($B140, 'Summary of Results'!$A:$A, 0))/INDEX('Summary of Results'!$G:$G, MATCH($B140, 'Summary of Results'!$A:$A, 0)) - 1)*100), NA()))</f>
        <v>544.79122628184587</v>
      </c>
      <c r="E140" s="788">
        <f ca="1">IF(IFERROR(IF($C$77 = "Absolute", INDEX('Summary of Results'!H:H, MATCH($B140, 'Summary of Results'!$A:$A, 0)), (INDEX('Summary of Results'!H:H, MATCH($B140, 'Summary of Results'!$A:$A, 0))/INDEX('Summary of Results'!$G:$G, MATCH($B140, 'Summary of Results'!$A:$A, 0)) - 1)*100), NA()) = "", "", IFERROR(IF($C$77 = "Absolute", INDEX('Summary of Results'!H:H, MATCH($B140, 'Summary of Results'!$A:$A, 0)), (INDEX('Summary of Results'!H:H, MATCH($B140, 'Summary of Results'!$A:$A, 0))/INDEX('Summary of Results'!$G:$G, MATCH($B140, 'Summary of Results'!$A:$A, 0)) - 1)*100), NA()))</f>
        <v>544.79122628184587</v>
      </c>
      <c r="F140" s="788">
        <f ca="1">IF(IFERROR(IF($C$77 = "Absolute", INDEX('Summary of Results'!I:I, MATCH($B140, 'Summary of Results'!$A:$A, 0)), (INDEX('Summary of Results'!I:I, MATCH($B140, 'Summary of Results'!$A:$A, 0))/INDEX('Summary of Results'!$G:$G, MATCH($B140, 'Summary of Results'!$A:$A, 0)) - 1)*100), NA()) = "", "", IFERROR(IF($C$77 = "Absolute", INDEX('Summary of Results'!I:I, MATCH($B140, 'Summary of Results'!$A:$A, 0)), (INDEX('Summary of Results'!I:I, MATCH($B140, 'Summary of Results'!$A:$A, 0))/INDEX('Summary of Results'!$G:$G, MATCH($B140, 'Summary of Results'!$A:$A, 0)) - 1)*100), NA()))</f>
        <v>544.79122628184587</v>
      </c>
      <c r="G140" s="788">
        <f ca="1">IF(IFERROR(IF($C$77 = "Absolute", INDEX('Summary of Results'!J:J, MATCH($B140, 'Summary of Results'!$A:$A, 0)), (INDEX('Summary of Results'!J:J, MATCH($B140, 'Summary of Results'!$A:$A, 0))/INDEX('Summary of Results'!$G:$G, MATCH($B140, 'Summary of Results'!$A:$A, 0)) - 1)*100), NA()) = "", "", IFERROR(IF($C$77 = "Absolute", INDEX('Summary of Results'!J:J, MATCH($B140, 'Summary of Results'!$A:$A, 0)), (INDEX('Summary of Results'!J:J, MATCH($B140, 'Summary of Results'!$A:$A, 0))/INDEX('Summary of Results'!$G:$G, MATCH($B140, 'Summary of Results'!$A:$A, 0)) - 1)*100), NA()))</f>
        <v>544.79122628184587</v>
      </c>
      <c r="H140" s="788">
        <f ca="1">IF(IFERROR(IF($C$77 = "Absolute", INDEX('Summary of Results'!K:K, MATCH($B140, 'Summary of Results'!$A:$A, 0)), (INDEX('Summary of Results'!K:K, MATCH($B140, 'Summary of Results'!$A:$A, 0))/INDEX('Summary of Results'!$G:$G, MATCH($B140, 'Summary of Results'!$A:$A, 0)) - 1)*100), NA()) = "", "", IFERROR(IF($C$77 = "Absolute", INDEX('Summary of Results'!K:K, MATCH($B140, 'Summary of Results'!$A:$A, 0)), (INDEX('Summary of Results'!K:K, MATCH($B140, 'Summary of Results'!$A:$A, 0))/INDEX('Summary of Results'!$G:$G, MATCH($B140, 'Summary of Results'!$A:$A, 0)) - 1)*100), NA()))</f>
        <v>544.79122628184587</v>
      </c>
      <c r="I140" s="788">
        <f ca="1">IF(IFERROR(IF($C$77 = "Absolute", INDEX('Summary of Results'!L:L, MATCH($B140, 'Summary of Results'!$A:$A, 0)), (INDEX('Summary of Results'!L:L, MATCH($B140, 'Summary of Results'!$A:$A, 0))/INDEX('Summary of Results'!$G:$G, MATCH($B140, 'Summary of Results'!$A:$A, 0)) - 1)*100), NA()) = "", "", IFERROR(IF($C$77 = "Absolute", INDEX('Summary of Results'!L:L, MATCH($B140, 'Summary of Results'!$A:$A, 0)), (INDEX('Summary of Results'!L:L, MATCH($B140, 'Summary of Results'!$A:$A, 0))/INDEX('Summary of Results'!$G:$G, MATCH($B140, 'Summary of Results'!$A:$A, 0)) - 1)*100), NA()))</f>
        <v>544.79122628184587</v>
      </c>
      <c r="J140" s="788">
        <f ca="1">IF(IFERROR(IF($C$77 = "Absolute", INDEX('Summary of Results'!M:M, MATCH($B140, 'Summary of Results'!$A:$A, 0)), (INDEX('Summary of Results'!M:M, MATCH($B140, 'Summary of Results'!$A:$A, 0))/INDEX('Summary of Results'!$G:$G, MATCH($B140, 'Summary of Results'!$A:$A, 0)) - 1)*100), NA()) = "", "", IFERROR(IF($C$77 = "Absolute", INDEX('Summary of Results'!M:M, MATCH($B140, 'Summary of Results'!$A:$A, 0)), (INDEX('Summary of Results'!M:M, MATCH($B140, 'Summary of Results'!$A:$A, 0))/INDEX('Summary of Results'!$G:$G, MATCH($B140, 'Summary of Results'!$A:$A, 0)) - 1)*100), NA()))</f>
        <v>544.79122628184587</v>
      </c>
      <c r="K140"/>
      <c r="L140"/>
      <c r="M140"/>
      <c r="N140"/>
      <c r="O140"/>
      <c r="P140"/>
      <c r="Q140"/>
      <c r="R140" s="256"/>
      <c r="S140" s="256"/>
      <c r="T140" s="256"/>
      <c r="U140" s="256"/>
      <c r="V140" s="256"/>
      <c r="W140" s="256"/>
      <c r="X140" s="256"/>
      <c r="Y140" s="256"/>
    </row>
    <row r="141" spans="1:25" ht="20">
      <c r="A141" s="14"/>
      <c r="B141" s="733">
        <v>15</v>
      </c>
      <c r="C141" s="734" t="str">
        <f>IFERROR(INDEX('Summary of Results'!$B:$B, MATCH(B141, 'Summary of Results'!$A:$A, 0)), NA())</f>
        <v>Pack volume, L</v>
      </c>
      <c r="D141" s="788">
        <f ca="1">IF(IFERROR(IF($C$77 = "Absolute", INDEX('Summary of Results'!G:G, MATCH($B141, 'Summary of Results'!$A:$A, 0)), (INDEX('Summary of Results'!G:G, MATCH($B141, 'Summary of Results'!$A:$A, 0))/INDEX('Summary of Results'!$G:$G, MATCH($B141, 'Summary of Results'!$A:$A, 0)) - 1)*100), NA()) = "", "", IFERROR(IF($C$77 = "Absolute", INDEX('Summary of Results'!G:G, MATCH($B141, 'Summary of Results'!$A:$A, 0)), (INDEX('Summary of Results'!G:G, MATCH($B141, 'Summary of Results'!$A:$A, 0))/INDEX('Summary of Results'!$G:$G, MATCH($B141, 'Summary of Results'!$A:$A, 0)) - 1)*100), NA()))</f>
        <v>290.66291258075501</v>
      </c>
      <c r="E141" s="788">
        <f ca="1">IF(IFERROR(IF($C$77 = "Absolute", INDEX('Summary of Results'!H:H, MATCH($B141, 'Summary of Results'!$A:$A, 0)), (INDEX('Summary of Results'!H:H, MATCH($B141, 'Summary of Results'!$A:$A, 0))/INDEX('Summary of Results'!$G:$G, MATCH($B141, 'Summary of Results'!$A:$A, 0)) - 1)*100), NA()) = "", "", IFERROR(IF($C$77 = "Absolute", INDEX('Summary of Results'!H:H, MATCH($B141, 'Summary of Results'!$A:$A, 0)), (INDEX('Summary of Results'!H:H, MATCH($B141, 'Summary of Results'!$A:$A, 0))/INDEX('Summary of Results'!$G:$G, MATCH($B141, 'Summary of Results'!$A:$A, 0)) - 1)*100), NA()))</f>
        <v>290.66291258075501</v>
      </c>
      <c r="F141" s="788">
        <f ca="1">IF(IFERROR(IF($C$77 = "Absolute", INDEX('Summary of Results'!I:I, MATCH($B141, 'Summary of Results'!$A:$A, 0)), (INDEX('Summary of Results'!I:I, MATCH($B141, 'Summary of Results'!$A:$A, 0))/INDEX('Summary of Results'!$G:$G, MATCH($B141, 'Summary of Results'!$A:$A, 0)) - 1)*100), NA()) = "", "", IFERROR(IF($C$77 = "Absolute", INDEX('Summary of Results'!I:I, MATCH($B141, 'Summary of Results'!$A:$A, 0)), (INDEX('Summary of Results'!I:I, MATCH($B141, 'Summary of Results'!$A:$A, 0))/INDEX('Summary of Results'!$G:$G, MATCH($B141, 'Summary of Results'!$A:$A, 0)) - 1)*100), NA()))</f>
        <v>290.66291258075501</v>
      </c>
      <c r="G141" s="788">
        <f ca="1">IF(IFERROR(IF($C$77 = "Absolute", INDEX('Summary of Results'!J:J, MATCH($B141, 'Summary of Results'!$A:$A, 0)), (INDEX('Summary of Results'!J:J, MATCH($B141, 'Summary of Results'!$A:$A, 0))/INDEX('Summary of Results'!$G:$G, MATCH($B141, 'Summary of Results'!$A:$A, 0)) - 1)*100), NA()) = "", "", IFERROR(IF($C$77 = "Absolute", INDEX('Summary of Results'!J:J, MATCH($B141, 'Summary of Results'!$A:$A, 0)), (INDEX('Summary of Results'!J:J, MATCH($B141, 'Summary of Results'!$A:$A, 0))/INDEX('Summary of Results'!$G:$G, MATCH($B141, 'Summary of Results'!$A:$A, 0)) - 1)*100), NA()))</f>
        <v>290.66291258075501</v>
      </c>
      <c r="H141" s="788">
        <f ca="1">IF(IFERROR(IF($C$77 = "Absolute", INDEX('Summary of Results'!K:K, MATCH($B141, 'Summary of Results'!$A:$A, 0)), (INDEX('Summary of Results'!K:K, MATCH($B141, 'Summary of Results'!$A:$A, 0))/INDEX('Summary of Results'!$G:$G, MATCH($B141, 'Summary of Results'!$A:$A, 0)) - 1)*100), NA()) = "", "", IFERROR(IF($C$77 = "Absolute", INDEX('Summary of Results'!K:K, MATCH($B141, 'Summary of Results'!$A:$A, 0)), (INDEX('Summary of Results'!K:K, MATCH($B141, 'Summary of Results'!$A:$A, 0))/INDEX('Summary of Results'!$G:$G, MATCH($B141, 'Summary of Results'!$A:$A, 0)) - 1)*100), NA()))</f>
        <v>290.66291258075501</v>
      </c>
      <c r="I141" s="788">
        <f ca="1">IF(IFERROR(IF($C$77 = "Absolute", INDEX('Summary of Results'!L:L, MATCH($B141, 'Summary of Results'!$A:$A, 0)), (INDEX('Summary of Results'!L:L, MATCH($B141, 'Summary of Results'!$A:$A, 0))/INDEX('Summary of Results'!$G:$G, MATCH($B141, 'Summary of Results'!$A:$A, 0)) - 1)*100), NA()) = "", "", IFERROR(IF($C$77 = "Absolute", INDEX('Summary of Results'!L:L, MATCH($B141, 'Summary of Results'!$A:$A, 0)), (INDEX('Summary of Results'!L:L, MATCH($B141, 'Summary of Results'!$A:$A, 0))/INDEX('Summary of Results'!$G:$G, MATCH($B141, 'Summary of Results'!$A:$A, 0)) - 1)*100), NA()))</f>
        <v>290.66291258075501</v>
      </c>
      <c r="J141" s="788">
        <f ca="1">IF(IFERROR(IF($C$77 = "Absolute", INDEX('Summary of Results'!M:M, MATCH($B141, 'Summary of Results'!$A:$A, 0)), (INDEX('Summary of Results'!M:M, MATCH($B141, 'Summary of Results'!$A:$A, 0))/INDEX('Summary of Results'!$G:$G, MATCH($B141, 'Summary of Results'!$A:$A, 0)) - 1)*100), NA()) = "", "", IFERROR(IF($C$77 = "Absolute", INDEX('Summary of Results'!M:M, MATCH($B141, 'Summary of Results'!$A:$A, 0)), (INDEX('Summary of Results'!M:M, MATCH($B141, 'Summary of Results'!$A:$A, 0))/INDEX('Summary of Results'!$G:$G, MATCH($B141, 'Summary of Results'!$A:$A, 0)) - 1)*100), NA()))</f>
        <v>290.66291258075501</v>
      </c>
      <c r="K141"/>
      <c r="L141"/>
      <c r="M141"/>
      <c r="N141"/>
      <c r="O141"/>
      <c r="P141"/>
      <c r="Q141"/>
      <c r="R141" s="256"/>
      <c r="S141" s="256"/>
      <c r="T141" s="256"/>
      <c r="U141" s="256"/>
      <c r="V141" s="256"/>
      <c r="W141" s="256"/>
      <c r="X141" s="256"/>
      <c r="Y141" s="256"/>
    </row>
    <row r="142" spans="1:25" ht="20">
      <c r="A142" s="14"/>
      <c r="B142" s="733">
        <v>16</v>
      </c>
      <c r="C142" s="734" t="str">
        <f>IFERROR(INDEX('Summary of Results'!$B:$B, MATCH(B142, 'Summary of Results'!$A:$A, 0)), NA())</f>
        <v>Total cost of cells, $/kWh</v>
      </c>
      <c r="D142" s="788">
        <f ca="1">IF(IFERROR(IF($C$77 = "Absolute", INDEX('Summary of Results'!G:G, MATCH($B142, 'Summary of Results'!$A:$A, 0)), (INDEX('Summary of Results'!G:G, MATCH($B142, 'Summary of Results'!$A:$A, 0))/INDEX('Summary of Results'!$G:$G, MATCH($B142, 'Summary of Results'!$A:$A, 0)) - 1)*100), NA()) = "", "", IFERROR(IF($C$77 = "Absolute", INDEX('Summary of Results'!G:G, MATCH($B142, 'Summary of Results'!$A:$A, 0)), (INDEX('Summary of Results'!G:G, MATCH($B142, 'Summary of Results'!$A:$A, 0))/INDEX('Summary of Results'!$G:$G, MATCH($B142, 'Summary of Results'!$A:$A, 0)) - 1)*100), NA()))</f>
        <v>228.86932730232795</v>
      </c>
      <c r="E142" s="788">
        <f ca="1">IF(IFERROR(IF($C$77 = "Absolute", INDEX('Summary of Results'!H:H, MATCH($B142, 'Summary of Results'!$A:$A, 0)), (INDEX('Summary of Results'!H:H, MATCH($B142, 'Summary of Results'!$A:$A, 0))/INDEX('Summary of Results'!$G:$G, MATCH($B142, 'Summary of Results'!$A:$A, 0)) - 1)*100), NA()) = "", "", IFERROR(IF($C$77 = "Absolute", INDEX('Summary of Results'!H:H, MATCH($B142, 'Summary of Results'!$A:$A, 0)), (INDEX('Summary of Results'!H:H, MATCH($B142, 'Summary of Results'!$A:$A, 0))/INDEX('Summary of Results'!$G:$G, MATCH($B142, 'Summary of Results'!$A:$A, 0)) - 1)*100), NA()))</f>
        <v>156.91568700273311</v>
      </c>
      <c r="F142" s="788">
        <f ca="1">IF(IFERROR(IF($C$77 = "Absolute", INDEX('Summary of Results'!I:I, MATCH($B142, 'Summary of Results'!$A:$A, 0)), (INDEX('Summary of Results'!I:I, MATCH($B142, 'Summary of Results'!$A:$A, 0))/INDEX('Summary of Results'!$G:$G, MATCH($B142, 'Summary of Results'!$A:$A, 0)) - 1)*100), NA()) = "", "", IFERROR(IF($C$77 = "Absolute", INDEX('Summary of Results'!I:I, MATCH($B142, 'Summary of Results'!$A:$A, 0)), (INDEX('Summary of Results'!I:I, MATCH($B142, 'Summary of Results'!$A:$A, 0))/INDEX('Summary of Results'!$G:$G, MATCH($B142, 'Summary of Results'!$A:$A, 0)) - 1)*100), NA()))</f>
        <v>151.85139001554074</v>
      </c>
      <c r="G142" s="788">
        <f ca="1">IF(IFERROR(IF($C$77 = "Absolute", INDEX('Summary of Results'!J:J, MATCH($B142, 'Summary of Results'!$A:$A, 0)), (INDEX('Summary of Results'!J:J, MATCH($B142, 'Summary of Results'!$A:$A, 0))/INDEX('Summary of Results'!$G:$G, MATCH($B142, 'Summary of Results'!$A:$A, 0)) - 1)*100), NA()) = "", "", IFERROR(IF($C$77 = "Absolute", INDEX('Summary of Results'!J:J, MATCH($B142, 'Summary of Results'!$A:$A, 0)), (INDEX('Summary of Results'!J:J, MATCH($B142, 'Summary of Results'!$A:$A, 0))/INDEX('Summary of Results'!$G:$G, MATCH($B142, 'Summary of Results'!$A:$A, 0)) - 1)*100), NA()))</f>
        <v>148.64416415570335</v>
      </c>
      <c r="H142" s="788">
        <f ca="1">IF(IFERROR(IF($C$77 = "Absolute", INDEX('Summary of Results'!K:K, MATCH($B142, 'Summary of Results'!$A:$A, 0)), (INDEX('Summary of Results'!K:K, MATCH($B142, 'Summary of Results'!$A:$A, 0))/INDEX('Summary of Results'!$G:$G, MATCH($B142, 'Summary of Results'!$A:$A, 0)) - 1)*100), NA()) = "", "", IFERROR(IF($C$77 = "Absolute", INDEX('Summary of Results'!K:K, MATCH($B142, 'Summary of Results'!$A:$A, 0)), (INDEX('Summary of Results'!K:K, MATCH($B142, 'Summary of Results'!$A:$A, 0))/INDEX('Summary of Results'!$G:$G, MATCH($B142, 'Summary of Results'!$A:$A, 0)) - 1)*100), NA()))</f>
        <v>146.35198714208383</v>
      </c>
      <c r="I142" s="788">
        <f ca="1">IF(IFERROR(IF($C$77 = "Absolute", INDEX('Summary of Results'!L:L, MATCH($B142, 'Summary of Results'!$A:$A, 0)), (INDEX('Summary of Results'!L:L, MATCH($B142, 'Summary of Results'!$A:$A, 0))/INDEX('Summary of Results'!$G:$G, MATCH($B142, 'Summary of Results'!$A:$A, 0)) - 1)*100), NA()) = "", "", IFERROR(IF($C$77 = "Absolute", INDEX('Summary of Results'!L:L, MATCH($B142, 'Summary of Results'!$A:$A, 0)), (INDEX('Summary of Results'!L:L, MATCH($B142, 'Summary of Results'!$A:$A, 0))/INDEX('Summary of Results'!$G:$G, MATCH($B142, 'Summary of Results'!$A:$A, 0)) - 1)*100), NA()))</f>
        <v>142.5757319783832</v>
      </c>
      <c r="J142" s="788">
        <f ca="1">IF(IFERROR(IF($C$77 = "Absolute", INDEX('Summary of Results'!M:M, MATCH($B142, 'Summary of Results'!$A:$A, 0)), (INDEX('Summary of Results'!M:M, MATCH($B142, 'Summary of Results'!$A:$A, 0))/INDEX('Summary of Results'!$G:$G, MATCH($B142, 'Summary of Results'!$A:$A, 0)) - 1)*100), NA()) = "", "", IFERROR(IF($C$77 = "Absolute", INDEX('Summary of Results'!M:M, MATCH($B142, 'Summary of Results'!$A:$A, 0)), (INDEX('Summary of Results'!M:M, MATCH($B142, 'Summary of Results'!$A:$A, 0))/INDEX('Summary of Results'!$G:$G, MATCH($B142, 'Summary of Results'!$A:$A, 0)) - 1)*100), NA()))</f>
        <v>140.16732228862736</v>
      </c>
      <c r="K142"/>
      <c r="L142"/>
      <c r="M142"/>
      <c r="N142"/>
      <c r="O142"/>
      <c r="P142"/>
      <c r="Q142"/>
      <c r="R142" s="256"/>
      <c r="S142" s="256"/>
      <c r="T142" s="256"/>
      <c r="U142" s="256"/>
      <c r="V142" s="256"/>
      <c r="W142" s="256"/>
      <c r="X142" s="256"/>
      <c r="Y142" s="256"/>
    </row>
    <row r="143" spans="1:25" ht="20">
      <c r="A143" s="14"/>
      <c r="B143" s="733">
        <v>17</v>
      </c>
      <c r="C143" s="734" t="str">
        <f>IFERROR(INDEX('Summary of Results'!$B:$B, MATCH(B143, 'Summary of Results'!$A:$A, 0)), NA())</f>
        <v>Cost of cells, $/kWhUse</v>
      </c>
      <c r="D143" s="788">
        <f ca="1">IF(IFERROR(IF($C$77 = "Absolute", INDEX('Summary of Results'!G:G, MATCH($B143, 'Summary of Results'!$A:$A, 0)), (INDEX('Summary of Results'!G:G, MATCH($B143, 'Summary of Results'!$A:$A, 0))/INDEX('Summary of Results'!$G:$G, MATCH($B143, 'Summary of Results'!$A:$A, 0)) - 1)*100), NA()) = "", "", IFERROR(IF($C$77 = "Absolute", INDEX('Summary of Results'!G:G, MATCH($B143, 'Summary of Results'!$A:$A, 0)), (INDEX('Summary of Results'!G:G, MATCH($B143, 'Summary of Results'!$A:$A, 0))/INDEX('Summary of Results'!$G:$G, MATCH($B143, 'Summary of Results'!$A:$A, 0)) - 1)*100), NA()))</f>
        <v>269.25803212038585</v>
      </c>
      <c r="E143" s="788">
        <f ca="1">IF(IFERROR(IF($C$77 = "Absolute", INDEX('Summary of Results'!H:H, MATCH($B143, 'Summary of Results'!$A:$A, 0)), (INDEX('Summary of Results'!H:H, MATCH($B143, 'Summary of Results'!$A:$A, 0))/INDEX('Summary of Results'!$G:$G, MATCH($B143, 'Summary of Results'!$A:$A, 0)) - 1)*100), NA()) = "", "", IFERROR(IF($C$77 = "Absolute", INDEX('Summary of Results'!H:H, MATCH($B143, 'Summary of Results'!$A:$A, 0)), (INDEX('Summary of Results'!H:H, MATCH($B143, 'Summary of Results'!$A:$A, 0))/INDEX('Summary of Results'!$G:$G, MATCH($B143, 'Summary of Results'!$A:$A, 0)) - 1)*100), NA()))</f>
        <v>184.60669059145073</v>
      </c>
      <c r="F143" s="788">
        <f ca="1">IF(IFERROR(IF($C$77 = "Absolute", INDEX('Summary of Results'!I:I, MATCH($B143, 'Summary of Results'!$A:$A, 0)), (INDEX('Summary of Results'!I:I, MATCH($B143, 'Summary of Results'!$A:$A, 0))/INDEX('Summary of Results'!$G:$G, MATCH($B143, 'Summary of Results'!$A:$A, 0)) - 1)*100), NA()) = "", "", IFERROR(IF($C$77 = "Absolute", INDEX('Summary of Results'!I:I, MATCH($B143, 'Summary of Results'!$A:$A, 0)), (INDEX('Summary of Results'!I:I, MATCH($B143, 'Summary of Results'!$A:$A, 0))/INDEX('Summary of Results'!$G:$G, MATCH($B143, 'Summary of Results'!$A:$A, 0)) - 1)*100), NA()))</f>
        <v>178.6486941359303</v>
      </c>
      <c r="G143" s="788">
        <f ca="1">IF(IFERROR(IF($C$77 = "Absolute", INDEX('Summary of Results'!J:J, MATCH($B143, 'Summary of Results'!$A:$A, 0)), (INDEX('Summary of Results'!J:J, MATCH($B143, 'Summary of Results'!$A:$A, 0))/INDEX('Summary of Results'!$G:$G, MATCH($B143, 'Summary of Results'!$A:$A, 0)) - 1)*100), NA()) = "", "", IFERROR(IF($C$77 = "Absolute", INDEX('Summary of Results'!J:J, MATCH($B143, 'Summary of Results'!$A:$A, 0)), (INDEX('Summary of Results'!J:J, MATCH($B143, 'Summary of Results'!$A:$A, 0))/INDEX('Summary of Results'!$G:$G, MATCH($B143, 'Summary of Results'!$A:$A, 0)) - 1)*100), NA()))</f>
        <v>174.87548724200394</v>
      </c>
      <c r="H143" s="788">
        <f ca="1">IF(IFERROR(IF($C$77 = "Absolute", INDEX('Summary of Results'!K:K, MATCH($B143, 'Summary of Results'!$A:$A, 0)), (INDEX('Summary of Results'!K:K, MATCH($B143, 'Summary of Results'!$A:$A, 0))/INDEX('Summary of Results'!$G:$G, MATCH($B143, 'Summary of Results'!$A:$A, 0)) - 1)*100), NA()) = "", "", IFERROR(IF($C$77 = "Absolute", INDEX('Summary of Results'!K:K, MATCH($B143, 'Summary of Results'!$A:$A, 0)), (INDEX('Summary of Results'!K:K, MATCH($B143, 'Summary of Results'!$A:$A, 0))/INDEX('Summary of Results'!$G:$G, MATCH($B143, 'Summary of Results'!$A:$A, 0)) - 1)*100), NA()))</f>
        <v>172.17880840245158</v>
      </c>
      <c r="I143" s="788">
        <f ca="1">IF(IFERROR(IF($C$77 = "Absolute", INDEX('Summary of Results'!L:L, MATCH($B143, 'Summary of Results'!$A:$A, 0)), (INDEX('Summary of Results'!L:L, MATCH($B143, 'Summary of Results'!$A:$A, 0))/INDEX('Summary of Results'!$G:$G, MATCH($B143, 'Summary of Results'!$A:$A, 0)) - 1)*100), NA()) = "", "", IFERROR(IF($C$77 = "Absolute", INDEX('Summary of Results'!L:L, MATCH($B143, 'Summary of Results'!$A:$A, 0)), (INDEX('Summary of Results'!L:L, MATCH($B143, 'Summary of Results'!$A:$A, 0))/INDEX('Summary of Results'!$G:$G, MATCH($B143, 'Summary of Results'!$A:$A, 0)) - 1)*100), NA()))</f>
        <v>167.73615526868616</v>
      </c>
      <c r="J143" s="788">
        <f ca="1">IF(IFERROR(IF($C$77 = "Absolute", INDEX('Summary of Results'!M:M, MATCH($B143, 'Summary of Results'!$A:$A, 0)), (INDEX('Summary of Results'!M:M, MATCH($B143, 'Summary of Results'!$A:$A, 0))/INDEX('Summary of Results'!$G:$G, MATCH($B143, 'Summary of Results'!$A:$A, 0)) - 1)*100), NA()) = "", "", IFERROR(IF($C$77 = "Absolute", INDEX('Summary of Results'!M:M, MATCH($B143, 'Summary of Results'!$A:$A, 0)), (INDEX('Summary of Results'!M:M, MATCH($B143, 'Summary of Results'!$A:$A, 0))/INDEX('Summary of Results'!$G:$G, MATCH($B143, 'Summary of Results'!$A:$A, 0)) - 1)*100), NA()))</f>
        <v>164.90273210426747</v>
      </c>
      <c r="K143"/>
      <c r="L143"/>
      <c r="M143"/>
      <c r="N143"/>
      <c r="O143"/>
      <c r="P143"/>
      <c r="Q143"/>
      <c r="R143" s="256"/>
      <c r="S143" s="256"/>
      <c r="T143" s="256"/>
      <c r="U143" s="256"/>
      <c r="V143" s="256"/>
      <c r="W143" s="256"/>
      <c r="X143" s="256"/>
      <c r="Y143" s="256"/>
    </row>
    <row r="144" spans="1:25" ht="20">
      <c r="A144" s="14"/>
      <c r="B144" s="733">
        <v>18</v>
      </c>
      <c r="C144" s="734" t="str">
        <f>IFERROR(INDEX('Summary of Results'!$B:$B, MATCH(B144, 'Summary of Results'!$A:$A, 0)), NA())</f>
        <v>Extra cost of meeting fast charging requirements, $</v>
      </c>
      <c r="D144" s="788" t="str">
        <f>IF(IFERROR(IF($C$77 = "Absolute", INDEX('Summary of Results'!G:G, MATCH($B144, 'Summary of Results'!$A:$A, 0)), (INDEX('Summary of Results'!G:G, MATCH($B144, 'Summary of Results'!$A:$A, 0))/INDEX('Summary of Results'!$G:$G, MATCH($B144, 'Summary of Results'!$A:$A, 0)) - 1)*100), NA()) = "", "", IFERROR(IF($C$77 = "Absolute", INDEX('Summary of Results'!G:G, MATCH($B144, 'Summary of Results'!$A:$A, 0)), (INDEX('Summary of Results'!G:G, MATCH($B144, 'Summary of Results'!$A:$A, 0))/INDEX('Summary of Results'!$G:$G, MATCH($B144, 'Summary of Results'!$A:$A, 0)) - 1)*100), NA()))</f>
        <v>NA</v>
      </c>
      <c r="E144" s="788" t="str">
        <f>IF(IFERROR(IF($C$77 = "Absolute", INDEX('Summary of Results'!H:H, MATCH($B144, 'Summary of Results'!$A:$A, 0)), (INDEX('Summary of Results'!H:H, MATCH($B144, 'Summary of Results'!$A:$A, 0))/INDEX('Summary of Results'!$G:$G, MATCH($B144, 'Summary of Results'!$A:$A, 0)) - 1)*100), NA()) = "", "", IFERROR(IF($C$77 = "Absolute", INDEX('Summary of Results'!H:H, MATCH($B144, 'Summary of Results'!$A:$A, 0)), (INDEX('Summary of Results'!H:H, MATCH($B144, 'Summary of Results'!$A:$A, 0))/INDEX('Summary of Results'!$G:$G, MATCH($B144, 'Summary of Results'!$A:$A, 0)) - 1)*100), NA()))</f>
        <v>NA</v>
      </c>
      <c r="F144" s="788" t="str">
        <f>IF(IFERROR(IF($C$77 = "Absolute", INDEX('Summary of Results'!I:I, MATCH($B144, 'Summary of Results'!$A:$A, 0)), (INDEX('Summary of Results'!I:I, MATCH($B144, 'Summary of Results'!$A:$A, 0))/INDEX('Summary of Results'!$G:$G, MATCH($B144, 'Summary of Results'!$A:$A, 0)) - 1)*100), NA()) = "", "", IFERROR(IF($C$77 = "Absolute", INDEX('Summary of Results'!I:I, MATCH($B144, 'Summary of Results'!$A:$A, 0)), (INDEX('Summary of Results'!I:I, MATCH($B144, 'Summary of Results'!$A:$A, 0))/INDEX('Summary of Results'!$G:$G, MATCH($B144, 'Summary of Results'!$A:$A, 0)) - 1)*100), NA()))</f>
        <v>NA</v>
      </c>
      <c r="G144" s="788" t="str">
        <f>IF(IFERROR(IF($C$77 = "Absolute", INDEX('Summary of Results'!J:J, MATCH($B144, 'Summary of Results'!$A:$A, 0)), (INDEX('Summary of Results'!J:J, MATCH($B144, 'Summary of Results'!$A:$A, 0))/INDEX('Summary of Results'!$G:$G, MATCH($B144, 'Summary of Results'!$A:$A, 0)) - 1)*100), NA()) = "", "", IFERROR(IF($C$77 = "Absolute", INDEX('Summary of Results'!J:J, MATCH($B144, 'Summary of Results'!$A:$A, 0)), (INDEX('Summary of Results'!J:J, MATCH($B144, 'Summary of Results'!$A:$A, 0))/INDEX('Summary of Results'!$G:$G, MATCH($B144, 'Summary of Results'!$A:$A, 0)) - 1)*100), NA()))</f>
        <v>NA</v>
      </c>
      <c r="H144" s="788" t="str">
        <f>IF(IFERROR(IF($C$77 = "Absolute", INDEX('Summary of Results'!K:K, MATCH($B144, 'Summary of Results'!$A:$A, 0)), (INDEX('Summary of Results'!K:K, MATCH($B144, 'Summary of Results'!$A:$A, 0))/INDEX('Summary of Results'!$G:$G, MATCH($B144, 'Summary of Results'!$A:$A, 0)) - 1)*100), NA()) = "", "", IFERROR(IF($C$77 = "Absolute", INDEX('Summary of Results'!K:K, MATCH($B144, 'Summary of Results'!$A:$A, 0)), (INDEX('Summary of Results'!K:K, MATCH($B144, 'Summary of Results'!$A:$A, 0))/INDEX('Summary of Results'!$G:$G, MATCH($B144, 'Summary of Results'!$A:$A, 0)) - 1)*100), NA()))</f>
        <v>NA</v>
      </c>
      <c r="I144" s="788" t="str">
        <f>IF(IFERROR(IF($C$77 = "Absolute", INDEX('Summary of Results'!L:L, MATCH($B144, 'Summary of Results'!$A:$A, 0)), (INDEX('Summary of Results'!L:L, MATCH($B144, 'Summary of Results'!$A:$A, 0))/INDEX('Summary of Results'!$G:$G, MATCH($B144, 'Summary of Results'!$A:$A, 0)) - 1)*100), NA()) = "", "", IFERROR(IF($C$77 = "Absolute", INDEX('Summary of Results'!L:L, MATCH($B144, 'Summary of Results'!$A:$A, 0)), (INDEX('Summary of Results'!L:L, MATCH($B144, 'Summary of Results'!$A:$A, 0))/INDEX('Summary of Results'!$G:$G, MATCH($B144, 'Summary of Results'!$A:$A, 0)) - 1)*100), NA()))</f>
        <v>NA</v>
      </c>
      <c r="J144" s="788" t="str">
        <f>IF(IFERROR(IF($C$77 = "Absolute", INDEX('Summary of Results'!M:M, MATCH($B144, 'Summary of Results'!$A:$A, 0)), (INDEX('Summary of Results'!M:M, MATCH($B144, 'Summary of Results'!$A:$A, 0))/INDEX('Summary of Results'!$G:$G, MATCH($B144, 'Summary of Results'!$A:$A, 0)) - 1)*100), NA()) = "", "", IFERROR(IF($C$77 = "Absolute", INDEX('Summary of Results'!M:M, MATCH($B144, 'Summary of Results'!$A:$A, 0)), (INDEX('Summary of Results'!M:M, MATCH($B144, 'Summary of Results'!$A:$A, 0))/INDEX('Summary of Results'!$G:$G, MATCH($B144, 'Summary of Results'!$A:$A, 0)) - 1)*100), NA()))</f>
        <v>NA</v>
      </c>
      <c r="K144"/>
      <c r="L144"/>
      <c r="M144"/>
      <c r="N144"/>
      <c r="O144"/>
      <c r="P144"/>
      <c r="Q144"/>
      <c r="R144" s="256"/>
      <c r="S144" s="256"/>
      <c r="T144" s="256"/>
      <c r="U144" s="256"/>
      <c r="V144" s="256"/>
      <c r="W144" s="256"/>
      <c r="X144" s="256"/>
      <c r="Y144" s="256"/>
    </row>
    <row r="145" spans="1:25" ht="20">
      <c r="A145" s="14"/>
      <c r="B145" s="733">
        <v>19</v>
      </c>
      <c r="C145" s="734" t="str">
        <f>IFERROR(INDEX('Summary of Results'!$B:$B, MATCH(B145, 'Summary of Results'!$A:$A, 0)), NA())</f>
        <v>Production volume, packs per year</v>
      </c>
      <c r="D145" s="788">
        <f>IF(IFERROR(IF($C$77 = "Absolute", INDEX('Summary of Results'!G:G, MATCH($B145, 'Summary of Results'!$A:$A, 0)), (INDEX('Summary of Results'!G:G, MATCH($B145, 'Summary of Results'!$A:$A, 0))/INDEX('Summary of Results'!$G:$G, MATCH($B145, 'Summary of Results'!$A:$A, 0)) - 1)*100), NA()) = "", "", IFERROR(IF($C$77 = "Absolute", INDEX('Summary of Results'!G:G, MATCH($B145, 'Summary of Results'!$A:$A, 0)), (INDEX('Summary of Results'!G:G, MATCH($B145, 'Summary of Results'!$A:$A, 0))/INDEX('Summary of Results'!$G:$G, MATCH($B145, 'Summary of Results'!$A:$A, 0)) - 1)*100), NA()))</f>
        <v>1000</v>
      </c>
      <c r="E145" s="788">
        <f>IF(IFERROR(IF($C$77 = "Absolute", INDEX('Summary of Results'!H:H, MATCH($B145, 'Summary of Results'!$A:$A, 0)), (INDEX('Summary of Results'!H:H, MATCH($B145, 'Summary of Results'!$A:$A, 0))/INDEX('Summary of Results'!$G:$G, MATCH($B145, 'Summary of Results'!$A:$A, 0)) - 1)*100), NA()) = "", "", IFERROR(IF($C$77 = "Absolute", INDEX('Summary of Results'!H:H, MATCH($B145, 'Summary of Results'!$A:$A, 0)), (INDEX('Summary of Results'!H:H, MATCH($B145, 'Summary of Results'!$A:$A, 0))/INDEX('Summary of Results'!$G:$G, MATCH($B145, 'Summary of Results'!$A:$A, 0)) - 1)*100), NA()))</f>
        <v>20000</v>
      </c>
      <c r="F145" s="788">
        <f>IF(IFERROR(IF($C$77 = "Absolute", INDEX('Summary of Results'!I:I, MATCH($B145, 'Summary of Results'!$A:$A, 0)), (INDEX('Summary of Results'!I:I, MATCH($B145, 'Summary of Results'!$A:$A, 0))/INDEX('Summary of Results'!$G:$G, MATCH($B145, 'Summary of Results'!$A:$A, 0)) - 1)*100), NA()) = "", "", IFERROR(IF($C$77 = "Absolute", INDEX('Summary of Results'!I:I, MATCH($B145, 'Summary of Results'!$A:$A, 0)), (INDEX('Summary of Results'!I:I, MATCH($B145, 'Summary of Results'!$A:$A, 0))/INDEX('Summary of Results'!$G:$G, MATCH($B145, 'Summary of Results'!$A:$A, 0)) - 1)*100), NA()))</f>
        <v>30000</v>
      </c>
      <c r="G145" s="788">
        <f>IF(IFERROR(IF($C$77 = "Absolute", INDEX('Summary of Results'!J:J, MATCH($B145, 'Summary of Results'!$A:$A, 0)), (INDEX('Summary of Results'!J:J, MATCH($B145, 'Summary of Results'!$A:$A, 0))/INDEX('Summary of Results'!$G:$G, MATCH($B145, 'Summary of Results'!$A:$A, 0)) - 1)*100), NA()) = "", "", IFERROR(IF($C$77 = "Absolute", INDEX('Summary of Results'!J:J, MATCH($B145, 'Summary of Results'!$A:$A, 0)), (INDEX('Summary of Results'!J:J, MATCH($B145, 'Summary of Results'!$A:$A, 0))/INDEX('Summary of Results'!$G:$G, MATCH($B145, 'Summary of Results'!$A:$A, 0)) - 1)*100), NA()))</f>
        <v>40000</v>
      </c>
      <c r="H145" s="788">
        <f>IF(IFERROR(IF($C$77 = "Absolute", INDEX('Summary of Results'!K:K, MATCH($B145, 'Summary of Results'!$A:$A, 0)), (INDEX('Summary of Results'!K:K, MATCH($B145, 'Summary of Results'!$A:$A, 0))/INDEX('Summary of Results'!$G:$G, MATCH($B145, 'Summary of Results'!$A:$A, 0)) - 1)*100), NA()) = "", "", IFERROR(IF($C$77 = "Absolute", INDEX('Summary of Results'!K:K, MATCH($B145, 'Summary of Results'!$A:$A, 0)), (INDEX('Summary of Results'!K:K, MATCH($B145, 'Summary of Results'!$A:$A, 0))/INDEX('Summary of Results'!$G:$G, MATCH($B145, 'Summary of Results'!$A:$A, 0)) - 1)*100), NA()))</f>
        <v>50000</v>
      </c>
      <c r="I145" s="788">
        <f>IF(IFERROR(IF($C$77 = "Absolute", INDEX('Summary of Results'!L:L, MATCH($B145, 'Summary of Results'!$A:$A, 0)), (INDEX('Summary of Results'!L:L, MATCH($B145, 'Summary of Results'!$A:$A, 0))/INDEX('Summary of Results'!$G:$G, MATCH($B145, 'Summary of Results'!$A:$A, 0)) - 1)*100), NA()) = "", "", IFERROR(IF($C$77 = "Absolute", INDEX('Summary of Results'!L:L, MATCH($B145, 'Summary of Results'!$A:$A, 0)), (INDEX('Summary of Results'!L:L, MATCH($B145, 'Summary of Results'!$A:$A, 0))/INDEX('Summary of Results'!$G:$G, MATCH($B145, 'Summary of Results'!$A:$A, 0)) - 1)*100), NA()))</f>
        <v>75000</v>
      </c>
      <c r="J145" s="788">
        <f>IF(IFERROR(IF($C$77 = "Absolute", INDEX('Summary of Results'!M:M, MATCH($B145, 'Summary of Results'!$A:$A, 0)), (INDEX('Summary of Results'!M:M, MATCH($B145, 'Summary of Results'!$A:$A, 0))/INDEX('Summary of Results'!$G:$G, MATCH($B145, 'Summary of Results'!$A:$A, 0)) - 1)*100), NA()) = "", "", IFERROR(IF($C$77 = "Absolute", INDEX('Summary of Results'!M:M, MATCH($B145, 'Summary of Results'!$A:$A, 0)), (INDEX('Summary of Results'!M:M, MATCH($B145, 'Summary of Results'!$A:$A, 0))/INDEX('Summary of Results'!$G:$G, MATCH($B145, 'Summary of Results'!$A:$A, 0)) - 1)*100), NA()))</f>
        <v>100000</v>
      </c>
      <c r="K145"/>
      <c r="L145"/>
      <c r="M145"/>
      <c r="N145"/>
      <c r="O145"/>
      <c r="P145"/>
      <c r="Q145"/>
      <c r="R145" s="256"/>
      <c r="S145" s="256"/>
      <c r="T145" s="256"/>
      <c r="U145" s="256"/>
      <c r="V145" s="256"/>
      <c r="W145" s="256"/>
      <c r="X145" s="256"/>
      <c r="Y145" s="256"/>
    </row>
    <row r="146" spans="1:25" ht="20">
      <c r="A146" s="14"/>
      <c r="B146" s="733">
        <v>20</v>
      </c>
      <c r="C146" s="734" t="str">
        <f ca="1">IFERROR(INDEX('Summary of Results'!$B:$B, MATCH(B146, 'Summary of Results'!$A:$A, 0)), NA())</f>
        <v>Cell cost to OEM, US$/Cell</v>
      </c>
      <c r="D146" s="788">
        <f ca="1">IF(IFERROR(IF($C$77 = "Absolute", INDEX('Summary of Results'!G:G, MATCH($B146, 'Summary of Results'!$A:$A, 0)), (INDEX('Summary of Results'!G:G, MATCH($B146, 'Summary of Results'!$A:$A, 0))/INDEX('Summary of Results'!$G:$G, MATCH($B146, 'Summary of Results'!$A:$A, 0)) - 1)*100), NA()) = "", "", IFERROR(IF($C$77 = "Absolute", INDEX('Summary of Results'!G:G, MATCH($B146, 'Summary of Results'!$A:$A, 0)), (INDEX('Summary of Results'!G:G, MATCH($B146, 'Summary of Results'!$A:$A, 0))/INDEX('Summary of Results'!$G:$G, MATCH($B146, 'Summary of Results'!$A:$A, 0)) - 1)*100), NA()))</f>
        <v>57.217331825581958</v>
      </c>
      <c r="E146" s="788">
        <f ca="1">IF(IFERROR(IF($C$77 = "Absolute", INDEX('Summary of Results'!H:H, MATCH($B146, 'Summary of Results'!$A:$A, 0)), (INDEX('Summary of Results'!H:H, MATCH($B146, 'Summary of Results'!$A:$A, 0))/INDEX('Summary of Results'!$G:$G, MATCH($B146, 'Summary of Results'!$A:$A, 0)) - 1)*100), NA()) = "", "", IFERROR(IF($C$77 = "Absolute", INDEX('Summary of Results'!H:H, MATCH($B146, 'Summary of Results'!$A:$A, 0)), (INDEX('Summary of Results'!H:H, MATCH($B146, 'Summary of Results'!$A:$A, 0))/INDEX('Summary of Results'!$G:$G, MATCH($B146, 'Summary of Results'!$A:$A, 0)) - 1)*100), NA()))</f>
        <v>39.228921750683256</v>
      </c>
      <c r="F146" s="788">
        <f ca="1">IF(IFERROR(IF($C$77 = "Absolute", INDEX('Summary of Results'!I:I, MATCH($B146, 'Summary of Results'!$A:$A, 0)), (INDEX('Summary of Results'!I:I, MATCH($B146, 'Summary of Results'!$A:$A, 0))/INDEX('Summary of Results'!$G:$G, MATCH($B146, 'Summary of Results'!$A:$A, 0)) - 1)*100), NA()) = "", "", IFERROR(IF($C$77 = "Absolute", INDEX('Summary of Results'!I:I, MATCH($B146, 'Summary of Results'!$A:$A, 0)), (INDEX('Summary of Results'!I:I, MATCH($B146, 'Summary of Results'!$A:$A, 0))/INDEX('Summary of Results'!$G:$G, MATCH($B146, 'Summary of Results'!$A:$A, 0)) - 1)*100), NA()))</f>
        <v>37.962847503885172</v>
      </c>
      <c r="G146" s="788">
        <f ca="1">IF(IFERROR(IF($C$77 = "Absolute", INDEX('Summary of Results'!J:J, MATCH($B146, 'Summary of Results'!$A:$A, 0)), (INDEX('Summary of Results'!J:J, MATCH($B146, 'Summary of Results'!$A:$A, 0))/INDEX('Summary of Results'!$G:$G, MATCH($B146, 'Summary of Results'!$A:$A, 0)) - 1)*100), NA()) = "", "", IFERROR(IF($C$77 = "Absolute", INDEX('Summary of Results'!J:J, MATCH($B146, 'Summary of Results'!$A:$A, 0)), (INDEX('Summary of Results'!J:J, MATCH($B146, 'Summary of Results'!$A:$A, 0))/INDEX('Summary of Results'!$G:$G, MATCH($B146, 'Summary of Results'!$A:$A, 0)) - 1)*100), NA()))</f>
        <v>37.161041038925816</v>
      </c>
      <c r="H146" s="788">
        <f ca="1">IF(IFERROR(IF($C$77 = "Absolute", INDEX('Summary of Results'!K:K, MATCH($B146, 'Summary of Results'!$A:$A, 0)), (INDEX('Summary of Results'!K:K, MATCH($B146, 'Summary of Results'!$A:$A, 0))/INDEX('Summary of Results'!$G:$G, MATCH($B146, 'Summary of Results'!$A:$A, 0)) - 1)*100), NA()) = "", "", IFERROR(IF($C$77 = "Absolute", INDEX('Summary of Results'!K:K, MATCH($B146, 'Summary of Results'!$A:$A, 0)), (INDEX('Summary of Results'!K:K, MATCH($B146, 'Summary of Results'!$A:$A, 0))/INDEX('Summary of Results'!$G:$G, MATCH($B146, 'Summary of Results'!$A:$A, 0)) - 1)*100), NA()))</f>
        <v>36.587996785520943</v>
      </c>
      <c r="I146" s="788">
        <f ca="1">IF(IFERROR(IF($C$77 = "Absolute", INDEX('Summary of Results'!L:L, MATCH($B146, 'Summary of Results'!$A:$A, 0)), (INDEX('Summary of Results'!L:L, MATCH($B146, 'Summary of Results'!$A:$A, 0))/INDEX('Summary of Results'!$G:$G, MATCH($B146, 'Summary of Results'!$A:$A, 0)) - 1)*100), NA()) = "", "", IFERROR(IF($C$77 = "Absolute", INDEX('Summary of Results'!L:L, MATCH($B146, 'Summary of Results'!$A:$A, 0)), (INDEX('Summary of Results'!L:L, MATCH($B146, 'Summary of Results'!$A:$A, 0))/INDEX('Summary of Results'!$G:$G, MATCH($B146, 'Summary of Results'!$A:$A, 0)) - 1)*100), NA()))</f>
        <v>35.643932994595787</v>
      </c>
      <c r="J146" s="788">
        <f ca="1">IF(IFERROR(IF($C$77 = "Absolute", INDEX('Summary of Results'!M:M, MATCH($B146, 'Summary of Results'!$A:$A, 0)), (INDEX('Summary of Results'!M:M, MATCH($B146, 'Summary of Results'!$A:$A, 0))/INDEX('Summary of Results'!$G:$G, MATCH($B146, 'Summary of Results'!$A:$A, 0)) - 1)*100), NA()) = "", "", IFERROR(IF($C$77 = "Absolute", INDEX('Summary of Results'!M:M, MATCH($B146, 'Summary of Results'!$A:$A, 0)), (INDEX('Summary of Results'!M:M, MATCH($B146, 'Summary of Results'!$A:$A, 0))/INDEX('Summary of Results'!$G:$G, MATCH($B146, 'Summary of Results'!$A:$A, 0)) - 1)*100), NA()))</f>
        <v>35.041830572156826</v>
      </c>
      <c r="K146"/>
      <c r="L146"/>
      <c r="M146"/>
      <c r="N146"/>
      <c r="O146"/>
      <c r="P146"/>
      <c r="Q146"/>
      <c r="R146" s="256"/>
      <c r="S146" s="256"/>
      <c r="T146" s="256"/>
      <c r="U146" s="256"/>
      <c r="V146" s="256"/>
      <c r="W146" s="256"/>
      <c r="X146" s="256"/>
      <c r="Y146" s="256"/>
    </row>
    <row r="147" spans="1:25" ht="20">
      <c r="A147" s="14"/>
      <c r="B147" s="733">
        <v>21</v>
      </c>
      <c r="C147" s="734" t="e">
        <f>IFERROR(INDEX('Summary of Results'!$B:$B, MATCH(B147, 'Summary of Results'!$A:$A, 0)), NA())</f>
        <v>#N/A</v>
      </c>
      <c r="D147" s="788" t="e">
        <f>IF(IFERROR(IF($C$77 = "Absolute", INDEX('Summary of Results'!G:G, MATCH($B147, 'Summary of Results'!$A:$A, 0)), (INDEX('Summary of Results'!G:G, MATCH($B147, 'Summary of Results'!$A:$A, 0))/INDEX('Summary of Results'!$G:$G, MATCH($B147, 'Summary of Results'!$A:$A, 0)) - 1)*100), NA()) = "", "", IFERROR(IF($C$77 = "Absolute", INDEX('Summary of Results'!G:G, MATCH($B147, 'Summary of Results'!$A:$A, 0)), (INDEX('Summary of Results'!G:G, MATCH($B147, 'Summary of Results'!$A:$A, 0))/INDEX('Summary of Results'!$G:$G, MATCH($B147, 'Summary of Results'!$A:$A, 0)) - 1)*100), NA()))</f>
        <v>#N/A</v>
      </c>
      <c r="E147" s="788" t="e">
        <f>IF(IFERROR(IF($C$77 = "Absolute", INDEX('Summary of Results'!H:H, MATCH($B147, 'Summary of Results'!$A:$A, 0)), (INDEX('Summary of Results'!H:H, MATCH($B147, 'Summary of Results'!$A:$A, 0))/INDEX('Summary of Results'!$G:$G, MATCH($B147, 'Summary of Results'!$A:$A, 0)) - 1)*100), NA()) = "", "", IFERROR(IF($C$77 = "Absolute", INDEX('Summary of Results'!H:H, MATCH($B147, 'Summary of Results'!$A:$A, 0)), (INDEX('Summary of Results'!H:H, MATCH($B147, 'Summary of Results'!$A:$A, 0))/INDEX('Summary of Results'!$G:$G, MATCH($B147, 'Summary of Results'!$A:$A, 0)) - 1)*100), NA()))</f>
        <v>#N/A</v>
      </c>
      <c r="F147" s="788" t="e">
        <f>IF(IFERROR(IF($C$77 = "Absolute", INDEX('Summary of Results'!I:I, MATCH($B147, 'Summary of Results'!$A:$A, 0)), (INDEX('Summary of Results'!I:I, MATCH($B147, 'Summary of Results'!$A:$A, 0))/INDEX('Summary of Results'!$G:$G, MATCH($B147, 'Summary of Results'!$A:$A, 0)) - 1)*100), NA()) = "", "", IFERROR(IF($C$77 = "Absolute", INDEX('Summary of Results'!I:I, MATCH($B147, 'Summary of Results'!$A:$A, 0)), (INDEX('Summary of Results'!I:I, MATCH($B147, 'Summary of Results'!$A:$A, 0))/INDEX('Summary of Results'!$G:$G, MATCH($B147, 'Summary of Results'!$A:$A, 0)) - 1)*100), NA()))</f>
        <v>#N/A</v>
      </c>
      <c r="G147" s="788" t="e">
        <f>IF(IFERROR(IF($C$77 = "Absolute", INDEX('Summary of Results'!J:J, MATCH($B147, 'Summary of Results'!$A:$A, 0)), (INDEX('Summary of Results'!J:J, MATCH($B147, 'Summary of Results'!$A:$A, 0))/INDEX('Summary of Results'!$G:$G, MATCH($B147, 'Summary of Results'!$A:$A, 0)) - 1)*100), NA()) = "", "", IFERROR(IF($C$77 = "Absolute", INDEX('Summary of Results'!J:J, MATCH($B147, 'Summary of Results'!$A:$A, 0)), (INDEX('Summary of Results'!J:J, MATCH($B147, 'Summary of Results'!$A:$A, 0))/INDEX('Summary of Results'!$G:$G, MATCH($B147, 'Summary of Results'!$A:$A, 0)) - 1)*100), NA()))</f>
        <v>#N/A</v>
      </c>
      <c r="H147" s="788" t="e">
        <f>IF(IFERROR(IF($C$77 = "Absolute", INDEX('Summary of Results'!K:K, MATCH($B147, 'Summary of Results'!$A:$A, 0)), (INDEX('Summary of Results'!K:K, MATCH($B147, 'Summary of Results'!$A:$A, 0))/INDEX('Summary of Results'!$G:$G, MATCH($B147, 'Summary of Results'!$A:$A, 0)) - 1)*100), NA()) = "", "", IFERROR(IF($C$77 = "Absolute", INDEX('Summary of Results'!K:K, MATCH($B147, 'Summary of Results'!$A:$A, 0)), (INDEX('Summary of Results'!K:K, MATCH($B147, 'Summary of Results'!$A:$A, 0))/INDEX('Summary of Results'!$G:$G, MATCH($B147, 'Summary of Results'!$A:$A, 0)) - 1)*100), NA()))</f>
        <v>#N/A</v>
      </c>
      <c r="I147" s="788" t="e">
        <f>IF(IFERROR(IF($C$77 = "Absolute", INDEX('Summary of Results'!L:L, MATCH($B147, 'Summary of Results'!$A:$A, 0)), (INDEX('Summary of Results'!L:L, MATCH($B147, 'Summary of Results'!$A:$A, 0))/INDEX('Summary of Results'!$G:$G, MATCH($B147, 'Summary of Results'!$A:$A, 0)) - 1)*100), NA()) = "", "", IFERROR(IF($C$77 = "Absolute", INDEX('Summary of Results'!L:L, MATCH($B147, 'Summary of Results'!$A:$A, 0)), (INDEX('Summary of Results'!L:L, MATCH($B147, 'Summary of Results'!$A:$A, 0))/INDEX('Summary of Results'!$G:$G, MATCH($B147, 'Summary of Results'!$A:$A, 0)) - 1)*100), NA()))</f>
        <v>#N/A</v>
      </c>
      <c r="J147" s="788" t="e">
        <f>IF(IFERROR(IF($C$77 = "Absolute", INDEX('Summary of Results'!M:M, MATCH($B147, 'Summary of Results'!$A:$A, 0)), (INDEX('Summary of Results'!M:M, MATCH($B147, 'Summary of Results'!$A:$A, 0))/INDEX('Summary of Results'!$G:$G, MATCH($B147, 'Summary of Results'!$A:$A, 0)) - 1)*100), NA()) = "", "", IFERROR(IF($C$77 = "Absolute", INDEX('Summary of Results'!M:M, MATCH($B147, 'Summary of Results'!$A:$A, 0)), (INDEX('Summary of Results'!M:M, MATCH($B147, 'Summary of Results'!$A:$A, 0))/INDEX('Summary of Results'!$G:$G, MATCH($B147, 'Summary of Results'!$A:$A, 0)) - 1)*100), NA()))</f>
        <v>#N/A</v>
      </c>
      <c r="K147"/>
      <c r="L147"/>
      <c r="M147"/>
      <c r="N147"/>
      <c r="O147"/>
      <c r="P147"/>
      <c r="Q147"/>
      <c r="R147" s="256"/>
      <c r="S147" s="256"/>
      <c r="T147" s="256"/>
      <c r="U147" s="256"/>
      <c r="V147" s="256"/>
      <c r="W147" s="256"/>
      <c r="X147" s="256"/>
      <c r="Y147" s="256"/>
    </row>
    <row r="148" spans="1:25" ht="20">
      <c r="A148"/>
      <c r="B148" s="733">
        <v>22</v>
      </c>
      <c r="C148" s="734" t="e">
        <f>IFERROR(INDEX('Summary of Results'!$B:$B, MATCH(B148, 'Summary of Results'!$A:$A, 0)), NA())</f>
        <v>#N/A</v>
      </c>
      <c r="D148" s="788" t="e">
        <f>IF(IFERROR(IF($C$77 = "Absolute", INDEX('Summary of Results'!G:G, MATCH($B148, 'Summary of Results'!$A:$A, 0)), (INDEX('Summary of Results'!G:G, MATCH($B148, 'Summary of Results'!$A:$A, 0))/INDEX('Summary of Results'!$G:$G, MATCH($B148, 'Summary of Results'!$A:$A, 0)) - 1)*100), NA()) = "", "", IFERROR(IF($C$77 = "Absolute", INDEX('Summary of Results'!G:G, MATCH($B148, 'Summary of Results'!$A:$A, 0)), (INDEX('Summary of Results'!G:G, MATCH($B148, 'Summary of Results'!$A:$A, 0))/INDEX('Summary of Results'!$G:$G, MATCH($B148, 'Summary of Results'!$A:$A, 0)) - 1)*100), NA()))</f>
        <v>#N/A</v>
      </c>
      <c r="E148" s="788" t="e">
        <f>IF(IFERROR(IF($C$77 = "Absolute", INDEX('Summary of Results'!H:H, MATCH($B148, 'Summary of Results'!$A:$A, 0)), (INDEX('Summary of Results'!H:H, MATCH($B148, 'Summary of Results'!$A:$A, 0))/INDEX('Summary of Results'!$G:$G, MATCH($B148, 'Summary of Results'!$A:$A, 0)) - 1)*100), NA()) = "", "", IFERROR(IF($C$77 = "Absolute", INDEX('Summary of Results'!H:H, MATCH($B148, 'Summary of Results'!$A:$A, 0)), (INDEX('Summary of Results'!H:H, MATCH($B148, 'Summary of Results'!$A:$A, 0))/INDEX('Summary of Results'!$G:$G, MATCH($B148, 'Summary of Results'!$A:$A, 0)) - 1)*100), NA()))</f>
        <v>#N/A</v>
      </c>
      <c r="F148" s="788" t="e">
        <f>IF(IFERROR(IF($C$77 = "Absolute", INDEX('Summary of Results'!I:I, MATCH($B148, 'Summary of Results'!$A:$A, 0)), (INDEX('Summary of Results'!I:I, MATCH($B148, 'Summary of Results'!$A:$A, 0))/INDEX('Summary of Results'!$G:$G, MATCH($B148, 'Summary of Results'!$A:$A, 0)) - 1)*100), NA()) = "", "", IFERROR(IF($C$77 = "Absolute", INDEX('Summary of Results'!I:I, MATCH($B148, 'Summary of Results'!$A:$A, 0)), (INDEX('Summary of Results'!I:I, MATCH($B148, 'Summary of Results'!$A:$A, 0))/INDEX('Summary of Results'!$G:$G, MATCH($B148, 'Summary of Results'!$A:$A, 0)) - 1)*100), NA()))</f>
        <v>#N/A</v>
      </c>
      <c r="G148" s="788" t="e">
        <f>IF(IFERROR(IF($C$77 = "Absolute", INDEX('Summary of Results'!J:J, MATCH($B148, 'Summary of Results'!$A:$A, 0)), (INDEX('Summary of Results'!J:J, MATCH($B148, 'Summary of Results'!$A:$A, 0))/INDEX('Summary of Results'!$G:$G, MATCH($B148, 'Summary of Results'!$A:$A, 0)) - 1)*100), NA()) = "", "", IFERROR(IF($C$77 = "Absolute", INDEX('Summary of Results'!J:J, MATCH($B148, 'Summary of Results'!$A:$A, 0)), (INDEX('Summary of Results'!J:J, MATCH($B148, 'Summary of Results'!$A:$A, 0))/INDEX('Summary of Results'!$G:$G, MATCH($B148, 'Summary of Results'!$A:$A, 0)) - 1)*100), NA()))</f>
        <v>#N/A</v>
      </c>
      <c r="H148" s="788" t="e">
        <f>IF(IFERROR(IF($C$77 = "Absolute", INDEX('Summary of Results'!K:K, MATCH($B148, 'Summary of Results'!$A:$A, 0)), (INDEX('Summary of Results'!K:K, MATCH($B148, 'Summary of Results'!$A:$A, 0))/INDEX('Summary of Results'!$G:$G, MATCH($B148, 'Summary of Results'!$A:$A, 0)) - 1)*100), NA()) = "", "", IFERROR(IF($C$77 = "Absolute", INDEX('Summary of Results'!K:K, MATCH($B148, 'Summary of Results'!$A:$A, 0)), (INDEX('Summary of Results'!K:K, MATCH($B148, 'Summary of Results'!$A:$A, 0))/INDEX('Summary of Results'!$G:$G, MATCH($B148, 'Summary of Results'!$A:$A, 0)) - 1)*100), NA()))</f>
        <v>#N/A</v>
      </c>
      <c r="I148" s="788" t="e">
        <f>IF(IFERROR(IF($C$77 = "Absolute", INDEX('Summary of Results'!L:L, MATCH($B148, 'Summary of Results'!$A:$A, 0)), (INDEX('Summary of Results'!L:L, MATCH($B148, 'Summary of Results'!$A:$A, 0))/INDEX('Summary of Results'!$G:$G, MATCH($B148, 'Summary of Results'!$A:$A, 0)) - 1)*100), NA()) = "", "", IFERROR(IF($C$77 = "Absolute", INDEX('Summary of Results'!L:L, MATCH($B148, 'Summary of Results'!$A:$A, 0)), (INDEX('Summary of Results'!L:L, MATCH($B148, 'Summary of Results'!$A:$A, 0))/INDEX('Summary of Results'!$G:$G, MATCH($B148, 'Summary of Results'!$A:$A, 0)) - 1)*100), NA()))</f>
        <v>#N/A</v>
      </c>
      <c r="J148" s="788" t="e">
        <f>IF(IFERROR(IF($C$77 = "Absolute", INDEX('Summary of Results'!M:M, MATCH($B148, 'Summary of Results'!$A:$A, 0)), (INDEX('Summary of Results'!M:M, MATCH($B148, 'Summary of Results'!$A:$A, 0))/INDEX('Summary of Results'!$G:$G, MATCH($B148, 'Summary of Results'!$A:$A, 0)) - 1)*100), NA()) = "", "", IFERROR(IF($C$77 = "Absolute", INDEX('Summary of Results'!M:M, MATCH($B148, 'Summary of Results'!$A:$A, 0)), (INDEX('Summary of Results'!M:M, MATCH($B148, 'Summary of Results'!$A:$A, 0))/INDEX('Summary of Results'!$G:$G, MATCH($B148, 'Summary of Results'!$A:$A, 0)) - 1)*100), NA()))</f>
        <v>#N/A</v>
      </c>
      <c r="K148"/>
      <c r="L148"/>
      <c r="M148"/>
      <c r="N148"/>
      <c r="O148"/>
      <c r="P148"/>
      <c r="Q148"/>
      <c r="R148" s="256"/>
      <c r="S148" s="256"/>
      <c r="T148" s="256"/>
      <c r="U148" s="256"/>
      <c r="V148" s="256"/>
      <c r="W148" s="256"/>
      <c r="X148" s="256"/>
      <c r="Y148" s="256"/>
    </row>
    <row r="149" spans="1:25" ht="20">
      <c r="A149"/>
      <c r="B149" s="733">
        <v>23</v>
      </c>
      <c r="C149" s="734" t="e">
        <f>IFERROR(INDEX('Summary of Results'!$B:$B, MATCH(B149, 'Summary of Results'!$A:$A, 0)), NA())</f>
        <v>#N/A</v>
      </c>
      <c r="D149" s="788" t="e">
        <f>IF(IFERROR(IF($C$77 = "Absolute", INDEX('Summary of Results'!G:G, MATCH($B149, 'Summary of Results'!$A:$A, 0)), (INDEX('Summary of Results'!G:G, MATCH($B149, 'Summary of Results'!$A:$A, 0))/INDEX('Summary of Results'!$G:$G, MATCH($B149, 'Summary of Results'!$A:$A, 0)) - 1)*100), NA()) = "", "", IFERROR(IF($C$77 = "Absolute", INDEX('Summary of Results'!G:G, MATCH($B149, 'Summary of Results'!$A:$A, 0)), (INDEX('Summary of Results'!G:G, MATCH($B149, 'Summary of Results'!$A:$A, 0))/INDEX('Summary of Results'!$G:$G, MATCH($B149, 'Summary of Results'!$A:$A, 0)) - 1)*100), NA()))</f>
        <v>#N/A</v>
      </c>
      <c r="E149" s="788" t="e">
        <f>IF(IFERROR(IF($C$77 = "Absolute", INDEX('Summary of Results'!H:H, MATCH($B149, 'Summary of Results'!$A:$A, 0)), (INDEX('Summary of Results'!H:H, MATCH($B149, 'Summary of Results'!$A:$A, 0))/INDEX('Summary of Results'!$G:$G, MATCH($B149, 'Summary of Results'!$A:$A, 0)) - 1)*100), NA()) = "", "", IFERROR(IF($C$77 = "Absolute", INDEX('Summary of Results'!H:H, MATCH($B149, 'Summary of Results'!$A:$A, 0)), (INDEX('Summary of Results'!H:H, MATCH($B149, 'Summary of Results'!$A:$A, 0))/INDEX('Summary of Results'!$G:$G, MATCH($B149, 'Summary of Results'!$A:$A, 0)) - 1)*100), NA()))</f>
        <v>#N/A</v>
      </c>
      <c r="F149" s="788" t="e">
        <f>IF(IFERROR(IF($C$77 = "Absolute", INDEX('Summary of Results'!I:I, MATCH($B149, 'Summary of Results'!$A:$A, 0)), (INDEX('Summary of Results'!I:I, MATCH($B149, 'Summary of Results'!$A:$A, 0))/INDEX('Summary of Results'!$G:$G, MATCH($B149, 'Summary of Results'!$A:$A, 0)) - 1)*100), NA()) = "", "", IFERROR(IF($C$77 = "Absolute", INDEX('Summary of Results'!I:I, MATCH($B149, 'Summary of Results'!$A:$A, 0)), (INDEX('Summary of Results'!I:I, MATCH($B149, 'Summary of Results'!$A:$A, 0))/INDEX('Summary of Results'!$G:$G, MATCH($B149, 'Summary of Results'!$A:$A, 0)) - 1)*100), NA()))</f>
        <v>#N/A</v>
      </c>
      <c r="G149" s="788" t="e">
        <f>IF(IFERROR(IF($C$77 = "Absolute", INDEX('Summary of Results'!J:J, MATCH($B149, 'Summary of Results'!$A:$A, 0)), (INDEX('Summary of Results'!J:J, MATCH($B149, 'Summary of Results'!$A:$A, 0))/INDEX('Summary of Results'!$G:$G, MATCH($B149, 'Summary of Results'!$A:$A, 0)) - 1)*100), NA()) = "", "", IFERROR(IF($C$77 = "Absolute", INDEX('Summary of Results'!J:J, MATCH($B149, 'Summary of Results'!$A:$A, 0)), (INDEX('Summary of Results'!J:J, MATCH($B149, 'Summary of Results'!$A:$A, 0))/INDEX('Summary of Results'!$G:$G, MATCH($B149, 'Summary of Results'!$A:$A, 0)) - 1)*100), NA()))</f>
        <v>#N/A</v>
      </c>
      <c r="H149" s="788" t="e">
        <f>IF(IFERROR(IF($C$77 = "Absolute", INDEX('Summary of Results'!K:K, MATCH($B149, 'Summary of Results'!$A:$A, 0)), (INDEX('Summary of Results'!K:K, MATCH($B149, 'Summary of Results'!$A:$A, 0))/INDEX('Summary of Results'!$G:$G, MATCH($B149, 'Summary of Results'!$A:$A, 0)) - 1)*100), NA()) = "", "", IFERROR(IF($C$77 = "Absolute", INDEX('Summary of Results'!K:K, MATCH($B149, 'Summary of Results'!$A:$A, 0)), (INDEX('Summary of Results'!K:K, MATCH($B149, 'Summary of Results'!$A:$A, 0))/INDEX('Summary of Results'!$G:$G, MATCH($B149, 'Summary of Results'!$A:$A, 0)) - 1)*100), NA()))</f>
        <v>#N/A</v>
      </c>
      <c r="I149" s="788" t="e">
        <f>IF(IFERROR(IF($C$77 = "Absolute", INDEX('Summary of Results'!L:L, MATCH($B149, 'Summary of Results'!$A:$A, 0)), (INDEX('Summary of Results'!L:L, MATCH($B149, 'Summary of Results'!$A:$A, 0))/INDEX('Summary of Results'!$G:$G, MATCH($B149, 'Summary of Results'!$A:$A, 0)) - 1)*100), NA()) = "", "", IFERROR(IF($C$77 = "Absolute", INDEX('Summary of Results'!L:L, MATCH($B149, 'Summary of Results'!$A:$A, 0)), (INDEX('Summary of Results'!L:L, MATCH($B149, 'Summary of Results'!$A:$A, 0))/INDEX('Summary of Results'!$G:$G, MATCH($B149, 'Summary of Results'!$A:$A, 0)) - 1)*100), NA()))</f>
        <v>#N/A</v>
      </c>
      <c r="J149" s="788" t="e">
        <f>IF(IFERROR(IF($C$77 = "Absolute", INDEX('Summary of Results'!M:M, MATCH($B149, 'Summary of Results'!$A:$A, 0)), (INDEX('Summary of Results'!M:M, MATCH($B149, 'Summary of Results'!$A:$A, 0))/INDEX('Summary of Results'!$G:$G, MATCH($B149, 'Summary of Results'!$A:$A, 0)) - 1)*100), NA()) = "", "", IFERROR(IF($C$77 = "Absolute", INDEX('Summary of Results'!M:M, MATCH($B149, 'Summary of Results'!$A:$A, 0)), (INDEX('Summary of Results'!M:M, MATCH($B149, 'Summary of Results'!$A:$A, 0))/INDEX('Summary of Results'!$G:$G, MATCH($B149, 'Summary of Results'!$A:$A, 0)) - 1)*100), NA()))</f>
        <v>#N/A</v>
      </c>
      <c r="K149"/>
      <c r="L149"/>
      <c r="M149"/>
      <c r="N149"/>
      <c r="O149"/>
      <c r="P149"/>
      <c r="Q149"/>
      <c r="R149" s="256"/>
      <c r="S149" s="256"/>
      <c r="T149" s="256"/>
      <c r="U149" s="256"/>
      <c r="V149" s="256"/>
      <c r="W149" s="256"/>
      <c r="X149" s="256"/>
      <c r="Y149" s="256"/>
    </row>
    <row r="150" spans="1:25" ht="20">
      <c r="A150"/>
      <c r="B150" s="733">
        <v>24</v>
      </c>
      <c r="C150" s="734" t="e">
        <f>IFERROR(INDEX('Summary of Results'!$B:$B, MATCH(B150, 'Summary of Results'!$A:$A, 0)), NA())</f>
        <v>#N/A</v>
      </c>
      <c r="D150" s="788" t="e">
        <f>IF(IFERROR(IF($C$77 = "Absolute", INDEX('Summary of Results'!G:G, MATCH($B150, 'Summary of Results'!$A:$A, 0)), (INDEX('Summary of Results'!G:G, MATCH($B150, 'Summary of Results'!$A:$A, 0))/INDEX('Summary of Results'!$G:$G, MATCH($B150, 'Summary of Results'!$A:$A, 0)) - 1)*100), NA()) = "", "", IFERROR(IF($C$77 = "Absolute", INDEX('Summary of Results'!G:G, MATCH($B150, 'Summary of Results'!$A:$A, 0)), (INDEX('Summary of Results'!G:G, MATCH($B150, 'Summary of Results'!$A:$A, 0))/INDEX('Summary of Results'!$G:$G, MATCH($B150, 'Summary of Results'!$A:$A, 0)) - 1)*100), NA()))</f>
        <v>#N/A</v>
      </c>
      <c r="E150" s="788" t="e">
        <f>IF(IFERROR(IF($C$77 = "Absolute", INDEX('Summary of Results'!H:H, MATCH($B150, 'Summary of Results'!$A:$A, 0)), (INDEX('Summary of Results'!H:H, MATCH($B150, 'Summary of Results'!$A:$A, 0))/INDEX('Summary of Results'!$G:$G, MATCH($B150, 'Summary of Results'!$A:$A, 0)) - 1)*100), NA()) = "", "", IFERROR(IF($C$77 = "Absolute", INDEX('Summary of Results'!H:H, MATCH($B150, 'Summary of Results'!$A:$A, 0)), (INDEX('Summary of Results'!H:H, MATCH($B150, 'Summary of Results'!$A:$A, 0))/INDEX('Summary of Results'!$G:$G, MATCH($B150, 'Summary of Results'!$A:$A, 0)) - 1)*100), NA()))</f>
        <v>#N/A</v>
      </c>
      <c r="F150" s="788" t="e">
        <f>IF(IFERROR(IF($C$77 = "Absolute", INDEX('Summary of Results'!I:I, MATCH($B150, 'Summary of Results'!$A:$A, 0)), (INDEX('Summary of Results'!I:I, MATCH($B150, 'Summary of Results'!$A:$A, 0))/INDEX('Summary of Results'!$G:$G, MATCH($B150, 'Summary of Results'!$A:$A, 0)) - 1)*100), NA()) = "", "", IFERROR(IF($C$77 = "Absolute", INDEX('Summary of Results'!I:I, MATCH($B150, 'Summary of Results'!$A:$A, 0)), (INDEX('Summary of Results'!I:I, MATCH($B150, 'Summary of Results'!$A:$A, 0))/INDEX('Summary of Results'!$G:$G, MATCH($B150, 'Summary of Results'!$A:$A, 0)) - 1)*100), NA()))</f>
        <v>#N/A</v>
      </c>
      <c r="G150" s="788" t="e">
        <f>IF(IFERROR(IF($C$77 = "Absolute", INDEX('Summary of Results'!J:J, MATCH($B150, 'Summary of Results'!$A:$A, 0)), (INDEX('Summary of Results'!J:J, MATCH($B150, 'Summary of Results'!$A:$A, 0))/INDEX('Summary of Results'!$G:$G, MATCH($B150, 'Summary of Results'!$A:$A, 0)) - 1)*100), NA()) = "", "", IFERROR(IF($C$77 = "Absolute", INDEX('Summary of Results'!J:J, MATCH($B150, 'Summary of Results'!$A:$A, 0)), (INDEX('Summary of Results'!J:J, MATCH($B150, 'Summary of Results'!$A:$A, 0))/INDEX('Summary of Results'!$G:$G, MATCH($B150, 'Summary of Results'!$A:$A, 0)) - 1)*100), NA()))</f>
        <v>#N/A</v>
      </c>
      <c r="H150" s="788" t="e">
        <f>IF(IFERROR(IF($C$77 = "Absolute", INDEX('Summary of Results'!K:K, MATCH($B150, 'Summary of Results'!$A:$A, 0)), (INDEX('Summary of Results'!K:K, MATCH($B150, 'Summary of Results'!$A:$A, 0))/INDEX('Summary of Results'!$G:$G, MATCH($B150, 'Summary of Results'!$A:$A, 0)) - 1)*100), NA()) = "", "", IFERROR(IF($C$77 = "Absolute", INDEX('Summary of Results'!K:K, MATCH($B150, 'Summary of Results'!$A:$A, 0)), (INDEX('Summary of Results'!K:K, MATCH($B150, 'Summary of Results'!$A:$A, 0))/INDEX('Summary of Results'!$G:$G, MATCH($B150, 'Summary of Results'!$A:$A, 0)) - 1)*100), NA()))</f>
        <v>#N/A</v>
      </c>
      <c r="I150" s="788" t="e">
        <f>IF(IFERROR(IF($C$77 = "Absolute", INDEX('Summary of Results'!L:L, MATCH($B150, 'Summary of Results'!$A:$A, 0)), (INDEX('Summary of Results'!L:L, MATCH($B150, 'Summary of Results'!$A:$A, 0))/INDEX('Summary of Results'!$G:$G, MATCH($B150, 'Summary of Results'!$A:$A, 0)) - 1)*100), NA()) = "", "", IFERROR(IF($C$77 = "Absolute", INDEX('Summary of Results'!L:L, MATCH($B150, 'Summary of Results'!$A:$A, 0)), (INDEX('Summary of Results'!L:L, MATCH($B150, 'Summary of Results'!$A:$A, 0))/INDEX('Summary of Results'!$G:$G, MATCH($B150, 'Summary of Results'!$A:$A, 0)) - 1)*100), NA()))</f>
        <v>#N/A</v>
      </c>
      <c r="J150" s="788" t="e">
        <f>IF(IFERROR(IF($C$77 = "Absolute", INDEX('Summary of Results'!M:M, MATCH($B150, 'Summary of Results'!$A:$A, 0)), (INDEX('Summary of Results'!M:M, MATCH($B150, 'Summary of Results'!$A:$A, 0))/INDEX('Summary of Results'!$G:$G, MATCH($B150, 'Summary of Results'!$A:$A, 0)) - 1)*100), NA()) = "", "", IFERROR(IF($C$77 = "Absolute", INDEX('Summary of Results'!M:M, MATCH($B150, 'Summary of Results'!$A:$A, 0)), (INDEX('Summary of Results'!M:M, MATCH($B150, 'Summary of Results'!$A:$A, 0))/INDEX('Summary of Results'!$G:$G, MATCH($B150, 'Summary of Results'!$A:$A, 0)) - 1)*100), NA()))</f>
        <v>#N/A</v>
      </c>
      <c r="K150"/>
      <c r="L150"/>
      <c r="M150"/>
      <c r="N150"/>
      <c r="O150"/>
      <c r="P150"/>
      <c r="Q150"/>
      <c r="R150" s="256"/>
      <c r="S150" s="256"/>
      <c r="T150" s="256"/>
      <c r="U150" s="256"/>
      <c r="V150" s="256"/>
      <c r="W150" s="256"/>
      <c r="X150" s="256"/>
      <c r="Y150" s="256"/>
    </row>
    <row r="151" spans="1:25" ht="20">
      <c r="A151"/>
      <c r="B151" s="733">
        <v>25</v>
      </c>
      <c r="C151" s="734" t="e">
        <f>IFERROR(INDEX('Summary of Results'!$B:$B, MATCH(B151, 'Summary of Results'!$A:$A, 0)), NA())</f>
        <v>#N/A</v>
      </c>
      <c r="D151" s="788" t="e">
        <f>IF(IFERROR(IF($C$77 = "Absolute", INDEX('Summary of Results'!G:G, MATCH($B151, 'Summary of Results'!$A:$A, 0)), (INDEX('Summary of Results'!G:G, MATCH($B151, 'Summary of Results'!$A:$A, 0))/INDEX('Summary of Results'!$G:$G, MATCH($B151, 'Summary of Results'!$A:$A, 0)) - 1)*100), NA()) = "", "", IFERROR(IF($C$77 = "Absolute", INDEX('Summary of Results'!G:G, MATCH($B151, 'Summary of Results'!$A:$A, 0)), (INDEX('Summary of Results'!G:G, MATCH($B151, 'Summary of Results'!$A:$A, 0))/INDEX('Summary of Results'!$G:$G, MATCH($B151, 'Summary of Results'!$A:$A, 0)) - 1)*100), NA()))</f>
        <v>#N/A</v>
      </c>
      <c r="E151" s="788" t="e">
        <f>IF(IFERROR(IF($C$77 = "Absolute", INDEX('Summary of Results'!H:H, MATCH($B151, 'Summary of Results'!$A:$A, 0)), (INDEX('Summary of Results'!H:H, MATCH($B151, 'Summary of Results'!$A:$A, 0))/INDEX('Summary of Results'!$G:$G, MATCH($B151, 'Summary of Results'!$A:$A, 0)) - 1)*100), NA()) = "", "", IFERROR(IF($C$77 = "Absolute", INDEX('Summary of Results'!H:H, MATCH($B151, 'Summary of Results'!$A:$A, 0)), (INDEX('Summary of Results'!H:H, MATCH($B151, 'Summary of Results'!$A:$A, 0))/INDEX('Summary of Results'!$G:$G, MATCH($B151, 'Summary of Results'!$A:$A, 0)) - 1)*100), NA()))</f>
        <v>#N/A</v>
      </c>
      <c r="F151" s="788" t="e">
        <f>IF(IFERROR(IF($C$77 = "Absolute", INDEX('Summary of Results'!I:I, MATCH($B151, 'Summary of Results'!$A:$A, 0)), (INDEX('Summary of Results'!I:I, MATCH($B151, 'Summary of Results'!$A:$A, 0))/INDEX('Summary of Results'!$G:$G, MATCH($B151, 'Summary of Results'!$A:$A, 0)) - 1)*100), NA()) = "", "", IFERROR(IF($C$77 = "Absolute", INDEX('Summary of Results'!I:I, MATCH($B151, 'Summary of Results'!$A:$A, 0)), (INDEX('Summary of Results'!I:I, MATCH($B151, 'Summary of Results'!$A:$A, 0))/INDEX('Summary of Results'!$G:$G, MATCH($B151, 'Summary of Results'!$A:$A, 0)) - 1)*100), NA()))</f>
        <v>#N/A</v>
      </c>
      <c r="G151" s="788" t="e">
        <f>IF(IFERROR(IF($C$77 = "Absolute", INDEX('Summary of Results'!J:J, MATCH($B151, 'Summary of Results'!$A:$A, 0)), (INDEX('Summary of Results'!J:J, MATCH($B151, 'Summary of Results'!$A:$A, 0))/INDEX('Summary of Results'!$G:$G, MATCH($B151, 'Summary of Results'!$A:$A, 0)) - 1)*100), NA()) = "", "", IFERROR(IF($C$77 = "Absolute", INDEX('Summary of Results'!J:J, MATCH($B151, 'Summary of Results'!$A:$A, 0)), (INDEX('Summary of Results'!J:J, MATCH($B151, 'Summary of Results'!$A:$A, 0))/INDEX('Summary of Results'!$G:$G, MATCH($B151, 'Summary of Results'!$A:$A, 0)) - 1)*100), NA()))</f>
        <v>#N/A</v>
      </c>
      <c r="H151" s="788" t="e">
        <f>IF(IFERROR(IF($C$77 = "Absolute", INDEX('Summary of Results'!K:K, MATCH($B151, 'Summary of Results'!$A:$A, 0)), (INDEX('Summary of Results'!K:K, MATCH($B151, 'Summary of Results'!$A:$A, 0))/INDEX('Summary of Results'!$G:$G, MATCH($B151, 'Summary of Results'!$A:$A, 0)) - 1)*100), NA()) = "", "", IFERROR(IF($C$77 = "Absolute", INDEX('Summary of Results'!K:K, MATCH($B151, 'Summary of Results'!$A:$A, 0)), (INDEX('Summary of Results'!K:K, MATCH($B151, 'Summary of Results'!$A:$A, 0))/INDEX('Summary of Results'!$G:$G, MATCH($B151, 'Summary of Results'!$A:$A, 0)) - 1)*100), NA()))</f>
        <v>#N/A</v>
      </c>
      <c r="I151" s="788" t="e">
        <f>IF(IFERROR(IF($C$77 = "Absolute", INDEX('Summary of Results'!L:L, MATCH($B151, 'Summary of Results'!$A:$A, 0)), (INDEX('Summary of Results'!L:L, MATCH($B151, 'Summary of Results'!$A:$A, 0))/INDEX('Summary of Results'!$G:$G, MATCH($B151, 'Summary of Results'!$A:$A, 0)) - 1)*100), NA()) = "", "", IFERROR(IF($C$77 = "Absolute", INDEX('Summary of Results'!L:L, MATCH($B151, 'Summary of Results'!$A:$A, 0)), (INDEX('Summary of Results'!L:L, MATCH($B151, 'Summary of Results'!$A:$A, 0))/INDEX('Summary of Results'!$G:$G, MATCH($B151, 'Summary of Results'!$A:$A, 0)) - 1)*100), NA()))</f>
        <v>#N/A</v>
      </c>
      <c r="J151" s="788" t="e">
        <f>IF(IFERROR(IF($C$77 = "Absolute", INDEX('Summary of Results'!M:M, MATCH($B151, 'Summary of Results'!$A:$A, 0)), (INDEX('Summary of Results'!M:M, MATCH($B151, 'Summary of Results'!$A:$A, 0))/INDEX('Summary of Results'!$G:$G, MATCH($B151, 'Summary of Results'!$A:$A, 0)) - 1)*100), NA()) = "", "", IFERROR(IF($C$77 = "Absolute", INDEX('Summary of Results'!M:M, MATCH($B151, 'Summary of Results'!$A:$A, 0)), (INDEX('Summary of Results'!M:M, MATCH($B151, 'Summary of Results'!$A:$A, 0))/INDEX('Summary of Results'!$G:$G, MATCH($B151, 'Summary of Results'!$A:$A, 0)) - 1)*100), NA()))</f>
        <v>#N/A</v>
      </c>
      <c r="K151"/>
      <c r="L151"/>
      <c r="M151"/>
      <c r="N151"/>
      <c r="O151"/>
      <c r="P151"/>
      <c r="Q151"/>
      <c r="R151" s="256"/>
      <c r="S151" s="256"/>
      <c r="T151" s="256"/>
      <c r="U151" s="256"/>
      <c r="V151" s="256"/>
      <c r="W151" s="256"/>
      <c r="X151" s="256"/>
      <c r="Y151" s="256"/>
    </row>
    <row r="152" spans="1:25" ht="20">
      <c r="A152"/>
      <c r="B152" s="733">
        <v>26</v>
      </c>
      <c r="C152" s="734" t="e">
        <f>IFERROR(INDEX('Summary of Results'!$B:$B, MATCH(B152, 'Summary of Results'!$A:$A, 0)), NA())</f>
        <v>#N/A</v>
      </c>
      <c r="D152" s="788" t="e">
        <f>IF(IFERROR(IF($C$77 = "Absolute", INDEX('Summary of Results'!G:G, MATCH($B152, 'Summary of Results'!$A:$A, 0)), (INDEX('Summary of Results'!G:G, MATCH($B152, 'Summary of Results'!$A:$A, 0))/INDEX('Summary of Results'!$G:$G, MATCH($B152, 'Summary of Results'!$A:$A, 0)) - 1)*100), NA()) = "", "", IFERROR(IF($C$77 = "Absolute", INDEX('Summary of Results'!G:G, MATCH($B152, 'Summary of Results'!$A:$A, 0)), (INDEX('Summary of Results'!G:G, MATCH($B152, 'Summary of Results'!$A:$A, 0))/INDEX('Summary of Results'!$G:$G, MATCH($B152, 'Summary of Results'!$A:$A, 0)) - 1)*100), NA()))</f>
        <v>#N/A</v>
      </c>
      <c r="E152" s="788" t="e">
        <f>IF(IFERROR(IF($C$77 = "Absolute", INDEX('Summary of Results'!H:H, MATCH($B152, 'Summary of Results'!$A:$A, 0)), (INDEX('Summary of Results'!H:H, MATCH($B152, 'Summary of Results'!$A:$A, 0))/INDEX('Summary of Results'!$G:$G, MATCH($B152, 'Summary of Results'!$A:$A, 0)) - 1)*100), NA()) = "", "", IFERROR(IF($C$77 = "Absolute", INDEX('Summary of Results'!H:H, MATCH($B152, 'Summary of Results'!$A:$A, 0)), (INDEX('Summary of Results'!H:H, MATCH($B152, 'Summary of Results'!$A:$A, 0))/INDEX('Summary of Results'!$G:$G, MATCH($B152, 'Summary of Results'!$A:$A, 0)) - 1)*100), NA()))</f>
        <v>#N/A</v>
      </c>
      <c r="F152" s="788" t="e">
        <f>IF(IFERROR(IF($C$77 = "Absolute", INDEX('Summary of Results'!I:I, MATCH($B152, 'Summary of Results'!$A:$A, 0)), (INDEX('Summary of Results'!I:I, MATCH($B152, 'Summary of Results'!$A:$A, 0))/INDEX('Summary of Results'!$G:$G, MATCH($B152, 'Summary of Results'!$A:$A, 0)) - 1)*100), NA()) = "", "", IFERROR(IF($C$77 = "Absolute", INDEX('Summary of Results'!I:I, MATCH($B152, 'Summary of Results'!$A:$A, 0)), (INDEX('Summary of Results'!I:I, MATCH($B152, 'Summary of Results'!$A:$A, 0))/INDEX('Summary of Results'!$G:$G, MATCH($B152, 'Summary of Results'!$A:$A, 0)) - 1)*100), NA()))</f>
        <v>#N/A</v>
      </c>
      <c r="G152" s="788" t="e">
        <f>IF(IFERROR(IF($C$77 = "Absolute", INDEX('Summary of Results'!J:J, MATCH($B152, 'Summary of Results'!$A:$A, 0)), (INDEX('Summary of Results'!J:J, MATCH($B152, 'Summary of Results'!$A:$A, 0))/INDEX('Summary of Results'!$G:$G, MATCH($B152, 'Summary of Results'!$A:$A, 0)) - 1)*100), NA()) = "", "", IFERROR(IF($C$77 = "Absolute", INDEX('Summary of Results'!J:J, MATCH($B152, 'Summary of Results'!$A:$A, 0)), (INDEX('Summary of Results'!J:J, MATCH($B152, 'Summary of Results'!$A:$A, 0))/INDEX('Summary of Results'!$G:$G, MATCH($B152, 'Summary of Results'!$A:$A, 0)) - 1)*100), NA()))</f>
        <v>#N/A</v>
      </c>
      <c r="H152" s="788" t="e">
        <f>IF(IFERROR(IF($C$77 = "Absolute", INDEX('Summary of Results'!K:K, MATCH($B152, 'Summary of Results'!$A:$A, 0)), (INDEX('Summary of Results'!K:K, MATCH($B152, 'Summary of Results'!$A:$A, 0))/INDEX('Summary of Results'!$G:$G, MATCH($B152, 'Summary of Results'!$A:$A, 0)) - 1)*100), NA()) = "", "", IFERROR(IF($C$77 = "Absolute", INDEX('Summary of Results'!K:K, MATCH($B152, 'Summary of Results'!$A:$A, 0)), (INDEX('Summary of Results'!K:K, MATCH($B152, 'Summary of Results'!$A:$A, 0))/INDEX('Summary of Results'!$G:$G, MATCH($B152, 'Summary of Results'!$A:$A, 0)) - 1)*100), NA()))</f>
        <v>#N/A</v>
      </c>
      <c r="I152" s="788" t="e">
        <f>IF(IFERROR(IF($C$77 = "Absolute", INDEX('Summary of Results'!L:L, MATCH($B152, 'Summary of Results'!$A:$A, 0)), (INDEX('Summary of Results'!L:L, MATCH($B152, 'Summary of Results'!$A:$A, 0))/INDEX('Summary of Results'!$G:$G, MATCH($B152, 'Summary of Results'!$A:$A, 0)) - 1)*100), NA()) = "", "", IFERROR(IF($C$77 = "Absolute", INDEX('Summary of Results'!L:L, MATCH($B152, 'Summary of Results'!$A:$A, 0)), (INDEX('Summary of Results'!L:L, MATCH($B152, 'Summary of Results'!$A:$A, 0))/INDEX('Summary of Results'!$G:$G, MATCH($B152, 'Summary of Results'!$A:$A, 0)) - 1)*100), NA()))</f>
        <v>#N/A</v>
      </c>
      <c r="J152" s="788" t="e">
        <f>IF(IFERROR(IF($C$77 = "Absolute", INDEX('Summary of Results'!M:M, MATCH($B152, 'Summary of Results'!$A:$A, 0)), (INDEX('Summary of Results'!M:M, MATCH($B152, 'Summary of Results'!$A:$A, 0))/INDEX('Summary of Results'!$G:$G, MATCH($B152, 'Summary of Results'!$A:$A, 0)) - 1)*100), NA()) = "", "", IFERROR(IF($C$77 = "Absolute", INDEX('Summary of Results'!M:M, MATCH($B152, 'Summary of Results'!$A:$A, 0)), (INDEX('Summary of Results'!M:M, MATCH($B152, 'Summary of Results'!$A:$A, 0))/INDEX('Summary of Results'!$G:$G, MATCH($B152, 'Summary of Results'!$A:$A, 0)) - 1)*100), NA()))</f>
        <v>#N/A</v>
      </c>
      <c r="K152"/>
      <c r="L152"/>
      <c r="M152"/>
      <c r="N152"/>
      <c r="O152"/>
      <c r="P152"/>
      <c r="Q152"/>
      <c r="R152" s="256"/>
      <c r="S152" s="256"/>
      <c r="T152" s="256"/>
      <c r="U152" s="256"/>
      <c r="V152" s="256"/>
      <c r="W152" s="256"/>
      <c r="X152" s="256"/>
      <c r="Y152" s="256"/>
    </row>
    <row r="153" spans="1:25" ht="20">
      <c r="A153"/>
      <c r="B153" s="733">
        <v>27</v>
      </c>
      <c r="C153" s="734" t="e">
        <f>IFERROR(INDEX('Summary of Results'!$B:$B, MATCH(B153, 'Summary of Results'!$A:$A, 0)), NA())</f>
        <v>#N/A</v>
      </c>
      <c r="D153" s="788" t="e">
        <f>IF(IFERROR(IF($C$77 = "Absolute", INDEX('Summary of Results'!G:G, MATCH($B153, 'Summary of Results'!$A:$A, 0)), (INDEX('Summary of Results'!G:G, MATCH($B153, 'Summary of Results'!$A:$A, 0))/INDEX('Summary of Results'!$G:$G, MATCH($B153, 'Summary of Results'!$A:$A, 0)) - 1)*100), NA()) = "", "", IFERROR(IF($C$77 = "Absolute", INDEX('Summary of Results'!G:G, MATCH($B153, 'Summary of Results'!$A:$A, 0)), (INDEX('Summary of Results'!G:G, MATCH($B153, 'Summary of Results'!$A:$A, 0))/INDEX('Summary of Results'!$G:$G, MATCH($B153, 'Summary of Results'!$A:$A, 0)) - 1)*100), NA()))</f>
        <v>#N/A</v>
      </c>
      <c r="E153" s="788" t="e">
        <f>IF(IFERROR(IF($C$77 = "Absolute", INDEX('Summary of Results'!H:H, MATCH($B153, 'Summary of Results'!$A:$A, 0)), (INDEX('Summary of Results'!H:H, MATCH($B153, 'Summary of Results'!$A:$A, 0))/INDEX('Summary of Results'!$G:$G, MATCH($B153, 'Summary of Results'!$A:$A, 0)) - 1)*100), NA()) = "", "", IFERROR(IF($C$77 = "Absolute", INDEX('Summary of Results'!H:H, MATCH($B153, 'Summary of Results'!$A:$A, 0)), (INDEX('Summary of Results'!H:H, MATCH($B153, 'Summary of Results'!$A:$A, 0))/INDEX('Summary of Results'!$G:$G, MATCH($B153, 'Summary of Results'!$A:$A, 0)) - 1)*100), NA()))</f>
        <v>#N/A</v>
      </c>
      <c r="F153" s="788" t="e">
        <f>IF(IFERROR(IF($C$77 = "Absolute", INDEX('Summary of Results'!I:I, MATCH($B153, 'Summary of Results'!$A:$A, 0)), (INDEX('Summary of Results'!I:I, MATCH($B153, 'Summary of Results'!$A:$A, 0))/INDEX('Summary of Results'!$G:$G, MATCH($B153, 'Summary of Results'!$A:$A, 0)) - 1)*100), NA()) = "", "", IFERROR(IF($C$77 = "Absolute", INDEX('Summary of Results'!I:I, MATCH($B153, 'Summary of Results'!$A:$A, 0)), (INDEX('Summary of Results'!I:I, MATCH($B153, 'Summary of Results'!$A:$A, 0))/INDEX('Summary of Results'!$G:$G, MATCH($B153, 'Summary of Results'!$A:$A, 0)) - 1)*100), NA()))</f>
        <v>#N/A</v>
      </c>
      <c r="G153" s="788" t="e">
        <f>IF(IFERROR(IF($C$77 = "Absolute", INDEX('Summary of Results'!J:J, MATCH($B153, 'Summary of Results'!$A:$A, 0)), (INDEX('Summary of Results'!J:J, MATCH($B153, 'Summary of Results'!$A:$A, 0))/INDEX('Summary of Results'!$G:$G, MATCH($B153, 'Summary of Results'!$A:$A, 0)) - 1)*100), NA()) = "", "", IFERROR(IF($C$77 = "Absolute", INDEX('Summary of Results'!J:J, MATCH($B153, 'Summary of Results'!$A:$A, 0)), (INDEX('Summary of Results'!J:J, MATCH($B153, 'Summary of Results'!$A:$A, 0))/INDEX('Summary of Results'!$G:$G, MATCH($B153, 'Summary of Results'!$A:$A, 0)) - 1)*100), NA()))</f>
        <v>#N/A</v>
      </c>
      <c r="H153" s="788" t="e">
        <f>IF(IFERROR(IF($C$77 = "Absolute", INDEX('Summary of Results'!K:K, MATCH($B153, 'Summary of Results'!$A:$A, 0)), (INDEX('Summary of Results'!K:K, MATCH($B153, 'Summary of Results'!$A:$A, 0))/INDEX('Summary of Results'!$G:$G, MATCH($B153, 'Summary of Results'!$A:$A, 0)) - 1)*100), NA()) = "", "", IFERROR(IF($C$77 = "Absolute", INDEX('Summary of Results'!K:K, MATCH($B153, 'Summary of Results'!$A:$A, 0)), (INDEX('Summary of Results'!K:K, MATCH($B153, 'Summary of Results'!$A:$A, 0))/INDEX('Summary of Results'!$G:$G, MATCH($B153, 'Summary of Results'!$A:$A, 0)) - 1)*100), NA()))</f>
        <v>#N/A</v>
      </c>
      <c r="I153" s="788" t="e">
        <f>IF(IFERROR(IF($C$77 = "Absolute", INDEX('Summary of Results'!L:L, MATCH($B153, 'Summary of Results'!$A:$A, 0)), (INDEX('Summary of Results'!L:L, MATCH($B153, 'Summary of Results'!$A:$A, 0))/INDEX('Summary of Results'!$G:$G, MATCH($B153, 'Summary of Results'!$A:$A, 0)) - 1)*100), NA()) = "", "", IFERROR(IF($C$77 = "Absolute", INDEX('Summary of Results'!L:L, MATCH($B153, 'Summary of Results'!$A:$A, 0)), (INDEX('Summary of Results'!L:L, MATCH($B153, 'Summary of Results'!$A:$A, 0))/INDEX('Summary of Results'!$G:$G, MATCH($B153, 'Summary of Results'!$A:$A, 0)) - 1)*100), NA()))</f>
        <v>#N/A</v>
      </c>
      <c r="J153" s="788" t="e">
        <f>IF(IFERROR(IF($C$77 = "Absolute", INDEX('Summary of Results'!M:M, MATCH($B153, 'Summary of Results'!$A:$A, 0)), (INDEX('Summary of Results'!M:M, MATCH($B153, 'Summary of Results'!$A:$A, 0))/INDEX('Summary of Results'!$G:$G, MATCH($B153, 'Summary of Results'!$A:$A, 0)) - 1)*100), NA()) = "", "", IFERROR(IF($C$77 = "Absolute", INDEX('Summary of Results'!M:M, MATCH($B153, 'Summary of Results'!$A:$A, 0)), (INDEX('Summary of Results'!M:M, MATCH($B153, 'Summary of Results'!$A:$A, 0))/INDEX('Summary of Results'!$G:$G, MATCH($B153, 'Summary of Results'!$A:$A, 0)) - 1)*100), NA()))</f>
        <v>#N/A</v>
      </c>
      <c r="K153"/>
      <c r="L153"/>
      <c r="M153"/>
      <c r="N153"/>
      <c r="O153"/>
      <c r="P153"/>
      <c r="Q153"/>
      <c r="R153" s="256"/>
      <c r="S153" s="256"/>
      <c r="T153" s="256"/>
      <c r="U153" s="256"/>
      <c r="V153" s="256"/>
      <c r="W153" s="256"/>
      <c r="X153" s="256"/>
      <c r="Y153" s="256"/>
    </row>
    <row r="154" spans="1:25" ht="20">
      <c r="A154"/>
      <c r="B154" s="733">
        <v>28</v>
      </c>
      <c r="C154" s="734" t="e">
        <f>IFERROR(INDEX('Summary of Results'!$B:$B, MATCH(B154, 'Summary of Results'!$A:$A, 0)), NA())</f>
        <v>#N/A</v>
      </c>
      <c r="D154" s="788" t="e">
        <f>IF(IFERROR(IF($C$77 = "Absolute", INDEX('Summary of Results'!G:G, MATCH($B154, 'Summary of Results'!$A:$A, 0)), (INDEX('Summary of Results'!G:G, MATCH($B154, 'Summary of Results'!$A:$A, 0))/INDEX('Summary of Results'!$G:$G, MATCH($B154, 'Summary of Results'!$A:$A, 0)) - 1)*100), NA()) = "", "", IFERROR(IF($C$77 = "Absolute", INDEX('Summary of Results'!G:G, MATCH($B154, 'Summary of Results'!$A:$A, 0)), (INDEX('Summary of Results'!G:G, MATCH($B154, 'Summary of Results'!$A:$A, 0))/INDEX('Summary of Results'!$G:$G, MATCH($B154, 'Summary of Results'!$A:$A, 0)) - 1)*100), NA()))</f>
        <v>#N/A</v>
      </c>
      <c r="E154" s="788" t="e">
        <f>IF(IFERROR(IF($C$77 = "Absolute", INDEX('Summary of Results'!H:H, MATCH($B154, 'Summary of Results'!$A:$A, 0)), (INDEX('Summary of Results'!H:H, MATCH($B154, 'Summary of Results'!$A:$A, 0))/INDEX('Summary of Results'!$G:$G, MATCH($B154, 'Summary of Results'!$A:$A, 0)) - 1)*100), NA()) = "", "", IFERROR(IF($C$77 = "Absolute", INDEX('Summary of Results'!H:H, MATCH($B154, 'Summary of Results'!$A:$A, 0)), (INDEX('Summary of Results'!H:H, MATCH($B154, 'Summary of Results'!$A:$A, 0))/INDEX('Summary of Results'!$G:$G, MATCH($B154, 'Summary of Results'!$A:$A, 0)) - 1)*100), NA()))</f>
        <v>#N/A</v>
      </c>
      <c r="F154" s="788" t="e">
        <f>IF(IFERROR(IF($C$77 = "Absolute", INDEX('Summary of Results'!I:I, MATCH($B154, 'Summary of Results'!$A:$A, 0)), (INDEX('Summary of Results'!I:I, MATCH($B154, 'Summary of Results'!$A:$A, 0))/INDEX('Summary of Results'!$G:$G, MATCH($B154, 'Summary of Results'!$A:$A, 0)) - 1)*100), NA()) = "", "", IFERROR(IF($C$77 = "Absolute", INDEX('Summary of Results'!I:I, MATCH($B154, 'Summary of Results'!$A:$A, 0)), (INDEX('Summary of Results'!I:I, MATCH($B154, 'Summary of Results'!$A:$A, 0))/INDEX('Summary of Results'!$G:$G, MATCH($B154, 'Summary of Results'!$A:$A, 0)) - 1)*100), NA()))</f>
        <v>#N/A</v>
      </c>
      <c r="G154" s="788" t="e">
        <f>IF(IFERROR(IF($C$77 = "Absolute", INDEX('Summary of Results'!J:J, MATCH($B154, 'Summary of Results'!$A:$A, 0)), (INDEX('Summary of Results'!J:J, MATCH($B154, 'Summary of Results'!$A:$A, 0))/INDEX('Summary of Results'!$G:$G, MATCH($B154, 'Summary of Results'!$A:$A, 0)) - 1)*100), NA()) = "", "", IFERROR(IF($C$77 = "Absolute", INDEX('Summary of Results'!J:J, MATCH($B154, 'Summary of Results'!$A:$A, 0)), (INDEX('Summary of Results'!J:J, MATCH($B154, 'Summary of Results'!$A:$A, 0))/INDEX('Summary of Results'!$G:$G, MATCH($B154, 'Summary of Results'!$A:$A, 0)) - 1)*100), NA()))</f>
        <v>#N/A</v>
      </c>
      <c r="H154" s="788" t="e">
        <f>IF(IFERROR(IF($C$77 = "Absolute", INDEX('Summary of Results'!K:K, MATCH($B154, 'Summary of Results'!$A:$A, 0)), (INDEX('Summary of Results'!K:K, MATCH($B154, 'Summary of Results'!$A:$A, 0))/INDEX('Summary of Results'!$G:$G, MATCH($B154, 'Summary of Results'!$A:$A, 0)) - 1)*100), NA()) = "", "", IFERROR(IF($C$77 = "Absolute", INDEX('Summary of Results'!K:K, MATCH($B154, 'Summary of Results'!$A:$A, 0)), (INDEX('Summary of Results'!K:K, MATCH($B154, 'Summary of Results'!$A:$A, 0))/INDEX('Summary of Results'!$G:$G, MATCH($B154, 'Summary of Results'!$A:$A, 0)) - 1)*100), NA()))</f>
        <v>#N/A</v>
      </c>
      <c r="I154" s="788" t="e">
        <f>IF(IFERROR(IF($C$77 = "Absolute", INDEX('Summary of Results'!L:L, MATCH($B154, 'Summary of Results'!$A:$A, 0)), (INDEX('Summary of Results'!L:L, MATCH($B154, 'Summary of Results'!$A:$A, 0))/INDEX('Summary of Results'!$G:$G, MATCH($B154, 'Summary of Results'!$A:$A, 0)) - 1)*100), NA()) = "", "", IFERROR(IF($C$77 = "Absolute", INDEX('Summary of Results'!L:L, MATCH($B154, 'Summary of Results'!$A:$A, 0)), (INDEX('Summary of Results'!L:L, MATCH($B154, 'Summary of Results'!$A:$A, 0))/INDEX('Summary of Results'!$G:$G, MATCH($B154, 'Summary of Results'!$A:$A, 0)) - 1)*100), NA()))</f>
        <v>#N/A</v>
      </c>
      <c r="J154" s="788" t="e">
        <f>IF(IFERROR(IF($C$77 = "Absolute", INDEX('Summary of Results'!M:M, MATCH($B154, 'Summary of Results'!$A:$A, 0)), (INDEX('Summary of Results'!M:M, MATCH($B154, 'Summary of Results'!$A:$A, 0))/INDEX('Summary of Results'!$G:$G, MATCH($B154, 'Summary of Results'!$A:$A, 0)) - 1)*100), NA()) = "", "", IFERROR(IF($C$77 = "Absolute", INDEX('Summary of Results'!M:M, MATCH($B154, 'Summary of Results'!$A:$A, 0)), (INDEX('Summary of Results'!M:M, MATCH($B154, 'Summary of Results'!$A:$A, 0))/INDEX('Summary of Results'!$G:$G, MATCH($B154, 'Summary of Results'!$A:$A, 0)) - 1)*100), NA()))</f>
        <v>#N/A</v>
      </c>
      <c r="K154"/>
      <c r="L154"/>
      <c r="M154"/>
      <c r="N154"/>
      <c r="O154"/>
      <c r="P154"/>
      <c r="Q154"/>
      <c r="R154" s="256"/>
      <c r="S154" s="256"/>
      <c r="T154" s="256"/>
      <c r="U154" s="256"/>
      <c r="V154" s="256"/>
      <c r="W154" s="256"/>
      <c r="X154" s="256"/>
      <c r="Y154" s="256"/>
    </row>
    <row r="155" spans="1:25" ht="20">
      <c r="A155"/>
      <c r="B155" s="733">
        <v>29</v>
      </c>
      <c r="C155" s="734" t="e">
        <f>IFERROR(INDEX('Summary of Results'!$B:$B, MATCH(B155, 'Summary of Results'!$A:$A, 0)), NA())</f>
        <v>#N/A</v>
      </c>
      <c r="D155" s="788" t="e">
        <f>IF(IFERROR(IF($C$77 = "Absolute", INDEX('Summary of Results'!G:G, MATCH($B155, 'Summary of Results'!$A:$A, 0)), (INDEX('Summary of Results'!G:G, MATCH($B155, 'Summary of Results'!$A:$A, 0))/INDEX('Summary of Results'!$G:$G, MATCH($B155, 'Summary of Results'!$A:$A, 0)) - 1)*100), NA()) = "", "", IFERROR(IF($C$77 = "Absolute", INDEX('Summary of Results'!G:G, MATCH($B155, 'Summary of Results'!$A:$A, 0)), (INDEX('Summary of Results'!G:G, MATCH($B155, 'Summary of Results'!$A:$A, 0))/INDEX('Summary of Results'!$G:$G, MATCH($B155, 'Summary of Results'!$A:$A, 0)) - 1)*100), NA()))</f>
        <v>#N/A</v>
      </c>
      <c r="E155" s="788" t="e">
        <f>IF(IFERROR(IF($C$77 = "Absolute", INDEX('Summary of Results'!H:H, MATCH($B155, 'Summary of Results'!$A:$A, 0)), (INDEX('Summary of Results'!H:H, MATCH($B155, 'Summary of Results'!$A:$A, 0))/INDEX('Summary of Results'!$G:$G, MATCH($B155, 'Summary of Results'!$A:$A, 0)) - 1)*100), NA()) = "", "", IFERROR(IF($C$77 = "Absolute", INDEX('Summary of Results'!H:H, MATCH($B155, 'Summary of Results'!$A:$A, 0)), (INDEX('Summary of Results'!H:H, MATCH($B155, 'Summary of Results'!$A:$A, 0))/INDEX('Summary of Results'!$G:$G, MATCH($B155, 'Summary of Results'!$A:$A, 0)) - 1)*100), NA()))</f>
        <v>#N/A</v>
      </c>
      <c r="F155" s="788" t="e">
        <f>IF(IFERROR(IF($C$77 = "Absolute", INDEX('Summary of Results'!I:I, MATCH($B155, 'Summary of Results'!$A:$A, 0)), (INDEX('Summary of Results'!I:I, MATCH($B155, 'Summary of Results'!$A:$A, 0))/INDEX('Summary of Results'!$G:$G, MATCH($B155, 'Summary of Results'!$A:$A, 0)) - 1)*100), NA()) = "", "", IFERROR(IF($C$77 = "Absolute", INDEX('Summary of Results'!I:I, MATCH($B155, 'Summary of Results'!$A:$A, 0)), (INDEX('Summary of Results'!I:I, MATCH($B155, 'Summary of Results'!$A:$A, 0))/INDEX('Summary of Results'!$G:$G, MATCH($B155, 'Summary of Results'!$A:$A, 0)) - 1)*100), NA()))</f>
        <v>#N/A</v>
      </c>
      <c r="G155" s="788" t="e">
        <f>IF(IFERROR(IF($C$77 = "Absolute", INDEX('Summary of Results'!J:J, MATCH($B155, 'Summary of Results'!$A:$A, 0)), (INDEX('Summary of Results'!J:J, MATCH($B155, 'Summary of Results'!$A:$A, 0))/INDEX('Summary of Results'!$G:$G, MATCH($B155, 'Summary of Results'!$A:$A, 0)) - 1)*100), NA()) = "", "", IFERROR(IF($C$77 = "Absolute", INDEX('Summary of Results'!J:J, MATCH($B155, 'Summary of Results'!$A:$A, 0)), (INDEX('Summary of Results'!J:J, MATCH($B155, 'Summary of Results'!$A:$A, 0))/INDEX('Summary of Results'!$G:$G, MATCH($B155, 'Summary of Results'!$A:$A, 0)) - 1)*100), NA()))</f>
        <v>#N/A</v>
      </c>
      <c r="H155" s="788" t="e">
        <f>IF(IFERROR(IF($C$77 = "Absolute", INDEX('Summary of Results'!K:K, MATCH($B155, 'Summary of Results'!$A:$A, 0)), (INDEX('Summary of Results'!K:K, MATCH($B155, 'Summary of Results'!$A:$A, 0))/INDEX('Summary of Results'!$G:$G, MATCH($B155, 'Summary of Results'!$A:$A, 0)) - 1)*100), NA()) = "", "", IFERROR(IF($C$77 = "Absolute", INDEX('Summary of Results'!K:K, MATCH($B155, 'Summary of Results'!$A:$A, 0)), (INDEX('Summary of Results'!K:K, MATCH($B155, 'Summary of Results'!$A:$A, 0))/INDEX('Summary of Results'!$G:$G, MATCH($B155, 'Summary of Results'!$A:$A, 0)) - 1)*100), NA()))</f>
        <v>#N/A</v>
      </c>
      <c r="I155" s="788" t="e">
        <f>IF(IFERROR(IF($C$77 = "Absolute", INDEX('Summary of Results'!L:L, MATCH($B155, 'Summary of Results'!$A:$A, 0)), (INDEX('Summary of Results'!L:L, MATCH($B155, 'Summary of Results'!$A:$A, 0))/INDEX('Summary of Results'!$G:$G, MATCH($B155, 'Summary of Results'!$A:$A, 0)) - 1)*100), NA()) = "", "", IFERROR(IF($C$77 = "Absolute", INDEX('Summary of Results'!L:L, MATCH($B155, 'Summary of Results'!$A:$A, 0)), (INDEX('Summary of Results'!L:L, MATCH($B155, 'Summary of Results'!$A:$A, 0))/INDEX('Summary of Results'!$G:$G, MATCH($B155, 'Summary of Results'!$A:$A, 0)) - 1)*100), NA()))</f>
        <v>#N/A</v>
      </c>
      <c r="J155" s="788" t="e">
        <f>IF(IFERROR(IF($C$77 = "Absolute", INDEX('Summary of Results'!M:M, MATCH($B155, 'Summary of Results'!$A:$A, 0)), (INDEX('Summary of Results'!M:M, MATCH($B155, 'Summary of Results'!$A:$A, 0))/INDEX('Summary of Results'!$G:$G, MATCH($B155, 'Summary of Results'!$A:$A, 0)) - 1)*100), NA()) = "", "", IFERROR(IF($C$77 = "Absolute", INDEX('Summary of Results'!M:M, MATCH($B155, 'Summary of Results'!$A:$A, 0)), (INDEX('Summary of Results'!M:M, MATCH($B155, 'Summary of Results'!$A:$A, 0))/INDEX('Summary of Results'!$G:$G, MATCH($B155, 'Summary of Results'!$A:$A, 0)) - 1)*100), NA()))</f>
        <v>#N/A</v>
      </c>
      <c r="K155"/>
      <c r="L155"/>
      <c r="M155"/>
      <c r="N155"/>
      <c r="O155"/>
      <c r="P155"/>
      <c r="Q155"/>
      <c r="R155" s="256"/>
      <c r="S155" s="256"/>
      <c r="T155" s="256"/>
      <c r="U155" s="256"/>
      <c r="V155" s="256"/>
      <c r="W155" s="256"/>
      <c r="X155" s="256"/>
      <c r="Y155" s="256"/>
    </row>
    <row r="156" spans="1:25" ht="20">
      <c r="A156"/>
      <c r="B156" s="733">
        <v>30</v>
      </c>
      <c r="C156" s="734" t="e">
        <f>IFERROR(INDEX('Summary of Results'!$B:$B, MATCH(B156, 'Summary of Results'!$A:$A, 0)), NA())</f>
        <v>#N/A</v>
      </c>
      <c r="D156" s="788" t="e">
        <f>IF(IFERROR(IF($C$77 = "Absolute", INDEX('Summary of Results'!G:G, MATCH($B156, 'Summary of Results'!$A:$A, 0)), (INDEX('Summary of Results'!G:G, MATCH($B156, 'Summary of Results'!$A:$A, 0))/INDEX('Summary of Results'!$G:$G, MATCH($B156, 'Summary of Results'!$A:$A, 0)) - 1)*100), NA()) = "", "", IFERROR(IF($C$77 = "Absolute", INDEX('Summary of Results'!G:G, MATCH($B156, 'Summary of Results'!$A:$A, 0)), (INDEX('Summary of Results'!G:G, MATCH($B156, 'Summary of Results'!$A:$A, 0))/INDEX('Summary of Results'!$G:$G, MATCH($B156, 'Summary of Results'!$A:$A, 0)) - 1)*100), NA()))</f>
        <v>#N/A</v>
      </c>
      <c r="E156" s="788" t="e">
        <f>IF(IFERROR(IF($C$77 = "Absolute", INDEX('Summary of Results'!H:H, MATCH($B156, 'Summary of Results'!$A:$A, 0)), (INDEX('Summary of Results'!H:H, MATCH($B156, 'Summary of Results'!$A:$A, 0))/INDEX('Summary of Results'!$G:$G, MATCH($B156, 'Summary of Results'!$A:$A, 0)) - 1)*100), NA()) = "", "", IFERROR(IF($C$77 = "Absolute", INDEX('Summary of Results'!H:H, MATCH($B156, 'Summary of Results'!$A:$A, 0)), (INDEX('Summary of Results'!H:H, MATCH($B156, 'Summary of Results'!$A:$A, 0))/INDEX('Summary of Results'!$G:$G, MATCH($B156, 'Summary of Results'!$A:$A, 0)) - 1)*100), NA()))</f>
        <v>#N/A</v>
      </c>
      <c r="F156" s="788" t="e">
        <f>IF(IFERROR(IF($C$77 = "Absolute", INDEX('Summary of Results'!I:I, MATCH($B156, 'Summary of Results'!$A:$A, 0)), (INDEX('Summary of Results'!I:I, MATCH($B156, 'Summary of Results'!$A:$A, 0))/INDEX('Summary of Results'!$G:$G, MATCH($B156, 'Summary of Results'!$A:$A, 0)) - 1)*100), NA()) = "", "", IFERROR(IF($C$77 = "Absolute", INDEX('Summary of Results'!I:I, MATCH($B156, 'Summary of Results'!$A:$A, 0)), (INDEX('Summary of Results'!I:I, MATCH($B156, 'Summary of Results'!$A:$A, 0))/INDEX('Summary of Results'!$G:$G, MATCH($B156, 'Summary of Results'!$A:$A, 0)) - 1)*100), NA()))</f>
        <v>#N/A</v>
      </c>
      <c r="G156" s="788" t="e">
        <f>IF(IFERROR(IF($C$77 = "Absolute", INDEX('Summary of Results'!J:J, MATCH($B156, 'Summary of Results'!$A:$A, 0)), (INDEX('Summary of Results'!J:J, MATCH($B156, 'Summary of Results'!$A:$A, 0))/INDEX('Summary of Results'!$G:$G, MATCH($B156, 'Summary of Results'!$A:$A, 0)) - 1)*100), NA()) = "", "", IFERROR(IF($C$77 = "Absolute", INDEX('Summary of Results'!J:J, MATCH($B156, 'Summary of Results'!$A:$A, 0)), (INDEX('Summary of Results'!J:J, MATCH($B156, 'Summary of Results'!$A:$A, 0))/INDEX('Summary of Results'!$G:$G, MATCH($B156, 'Summary of Results'!$A:$A, 0)) - 1)*100), NA()))</f>
        <v>#N/A</v>
      </c>
      <c r="H156" s="788" t="e">
        <f>IF(IFERROR(IF($C$77 = "Absolute", INDEX('Summary of Results'!K:K, MATCH($B156, 'Summary of Results'!$A:$A, 0)), (INDEX('Summary of Results'!K:K, MATCH($B156, 'Summary of Results'!$A:$A, 0))/INDEX('Summary of Results'!$G:$G, MATCH($B156, 'Summary of Results'!$A:$A, 0)) - 1)*100), NA()) = "", "", IFERROR(IF($C$77 = "Absolute", INDEX('Summary of Results'!K:K, MATCH($B156, 'Summary of Results'!$A:$A, 0)), (INDEX('Summary of Results'!K:K, MATCH($B156, 'Summary of Results'!$A:$A, 0))/INDEX('Summary of Results'!$G:$G, MATCH($B156, 'Summary of Results'!$A:$A, 0)) - 1)*100), NA()))</f>
        <v>#N/A</v>
      </c>
      <c r="I156" s="788" t="e">
        <f>IF(IFERROR(IF($C$77 = "Absolute", INDEX('Summary of Results'!L:L, MATCH($B156, 'Summary of Results'!$A:$A, 0)), (INDEX('Summary of Results'!L:L, MATCH($B156, 'Summary of Results'!$A:$A, 0))/INDEX('Summary of Results'!$G:$G, MATCH($B156, 'Summary of Results'!$A:$A, 0)) - 1)*100), NA()) = "", "", IFERROR(IF($C$77 = "Absolute", INDEX('Summary of Results'!L:L, MATCH($B156, 'Summary of Results'!$A:$A, 0)), (INDEX('Summary of Results'!L:L, MATCH($B156, 'Summary of Results'!$A:$A, 0))/INDEX('Summary of Results'!$G:$G, MATCH($B156, 'Summary of Results'!$A:$A, 0)) - 1)*100), NA()))</f>
        <v>#N/A</v>
      </c>
      <c r="J156" s="788" t="e">
        <f>IF(IFERROR(IF($C$77 = "Absolute", INDEX('Summary of Results'!M:M, MATCH($B156, 'Summary of Results'!$A:$A, 0)), (INDEX('Summary of Results'!M:M, MATCH($B156, 'Summary of Results'!$A:$A, 0))/INDEX('Summary of Results'!$G:$G, MATCH($B156, 'Summary of Results'!$A:$A, 0)) - 1)*100), NA()) = "", "", IFERROR(IF($C$77 = "Absolute", INDEX('Summary of Results'!M:M, MATCH($B156, 'Summary of Results'!$A:$A, 0)), (INDEX('Summary of Results'!M:M, MATCH($B156, 'Summary of Results'!$A:$A, 0))/INDEX('Summary of Results'!$G:$G, MATCH($B156, 'Summary of Results'!$A:$A, 0)) - 1)*100), NA()))</f>
        <v>#N/A</v>
      </c>
      <c r="K156"/>
      <c r="L156"/>
      <c r="M156"/>
      <c r="N156"/>
      <c r="O156"/>
      <c r="P156"/>
      <c r="Q156"/>
      <c r="R156" s="256"/>
      <c r="S156" s="256"/>
      <c r="T156" s="256"/>
      <c r="U156" s="256"/>
      <c r="V156" s="256"/>
      <c r="W156" s="256"/>
      <c r="X156" s="256"/>
      <c r="Y156" s="256"/>
    </row>
    <row r="157" spans="1:25" ht="20">
      <c r="A157"/>
      <c r="B157" s="733">
        <v>31</v>
      </c>
      <c r="C157" s="734" t="e">
        <f>IFERROR(INDEX('Summary of Results'!$B:$B, MATCH(B157, 'Summary of Results'!$A:$A, 0)), NA())</f>
        <v>#N/A</v>
      </c>
      <c r="D157" s="788" t="e">
        <f>IF(IFERROR(IF($C$77 = "Absolute", INDEX('Summary of Results'!G:G, MATCH($B157, 'Summary of Results'!$A:$A, 0)), (INDEX('Summary of Results'!G:G, MATCH($B157, 'Summary of Results'!$A:$A, 0))/INDEX('Summary of Results'!$G:$G, MATCH($B157, 'Summary of Results'!$A:$A, 0)) - 1)*100), NA()) = "", "", IFERROR(IF($C$77 = "Absolute", INDEX('Summary of Results'!G:G, MATCH($B157, 'Summary of Results'!$A:$A, 0)), (INDEX('Summary of Results'!G:G, MATCH($B157, 'Summary of Results'!$A:$A, 0))/INDEX('Summary of Results'!$G:$G, MATCH($B157, 'Summary of Results'!$A:$A, 0)) - 1)*100), NA()))</f>
        <v>#N/A</v>
      </c>
      <c r="E157" s="788" t="e">
        <f>IF(IFERROR(IF($C$77 = "Absolute", INDEX('Summary of Results'!H:H, MATCH($B157, 'Summary of Results'!$A:$A, 0)), (INDEX('Summary of Results'!H:H, MATCH($B157, 'Summary of Results'!$A:$A, 0))/INDEX('Summary of Results'!$G:$G, MATCH($B157, 'Summary of Results'!$A:$A, 0)) - 1)*100), NA()) = "", "", IFERROR(IF($C$77 = "Absolute", INDEX('Summary of Results'!H:H, MATCH($B157, 'Summary of Results'!$A:$A, 0)), (INDEX('Summary of Results'!H:H, MATCH($B157, 'Summary of Results'!$A:$A, 0))/INDEX('Summary of Results'!$G:$G, MATCH($B157, 'Summary of Results'!$A:$A, 0)) - 1)*100), NA()))</f>
        <v>#N/A</v>
      </c>
      <c r="F157" s="788" t="e">
        <f>IF(IFERROR(IF($C$77 = "Absolute", INDEX('Summary of Results'!I:I, MATCH($B157, 'Summary of Results'!$A:$A, 0)), (INDEX('Summary of Results'!I:I, MATCH($B157, 'Summary of Results'!$A:$A, 0))/INDEX('Summary of Results'!$G:$G, MATCH($B157, 'Summary of Results'!$A:$A, 0)) - 1)*100), NA()) = "", "", IFERROR(IF($C$77 = "Absolute", INDEX('Summary of Results'!I:I, MATCH($B157, 'Summary of Results'!$A:$A, 0)), (INDEX('Summary of Results'!I:I, MATCH($B157, 'Summary of Results'!$A:$A, 0))/INDEX('Summary of Results'!$G:$G, MATCH($B157, 'Summary of Results'!$A:$A, 0)) - 1)*100), NA()))</f>
        <v>#N/A</v>
      </c>
      <c r="G157" s="788" t="e">
        <f>IF(IFERROR(IF($C$77 = "Absolute", INDEX('Summary of Results'!J:J, MATCH($B157, 'Summary of Results'!$A:$A, 0)), (INDEX('Summary of Results'!J:J, MATCH($B157, 'Summary of Results'!$A:$A, 0))/INDEX('Summary of Results'!$G:$G, MATCH($B157, 'Summary of Results'!$A:$A, 0)) - 1)*100), NA()) = "", "", IFERROR(IF($C$77 = "Absolute", INDEX('Summary of Results'!J:J, MATCH($B157, 'Summary of Results'!$A:$A, 0)), (INDEX('Summary of Results'!J:J, MATCH($B157, 'Summary of Results'!$A:$A, 0))/INDEX('Summary of Results'!$G:$G, MATCH($B157, 'Summary of Results'!$A:$A, 0)) - 1)*100), NA()))</f>
        <v>#N/A</v>
      </c>
      <c r="H157" s="788" t="e">
        <f>IF(IFERROR(IF($C$77 = "Absolute", INDEX('Summary of Results'!K:K, MATCH($B157, 'Summary of Results'!$A:$A, 0)), (INDEX('Summary of Results'!K:K, MATCH($B157, 'Summary of Results'!$A:$A, 0))/INDEX('Summary of Results'!$G:$G, MATCH($B157, 'Summary of Results'!$A:$A, 0)) - 1)*100), NA()) = "", "", IFERROR(IF($C$77 = "Absolute", INDEX('Summary of Results'!K:K, MATCH($B157, 'Summary of Results'!$A:$A, 0)), (INDEX('Summary of Results'!K:K, MATCH($B157, 'Summary of Results'!$A:$A, 0))/INDEX('Summary of Results'!$G:$G, MATCH($B157, 'Summary of Results'!$A:$A, 0)) - 1)*100), NA()))</f>
        <v>#N/A</v>
      </c>
      <c r="I157" s="788" t="e">
        <f>IF(IFERROR(IF($C$77 = "Absolute", INDEX('Summary of Results'!L:L, MATCH($B157, 'Summary of Results'!$A:$A, 0)), (INDEX('Summary of Results'!L:L, MATCH($B157, 'Summary of Results'!$A:$A, 0))/INDEX('Summary of Results'!$G:$G, MATCH($B157, 'Summary of Results'!$A:$A, 0)) - 1)*100), NA()) = "", "", IFERROR(IF($C$77 = "Absolute", INDEX('Summary of Results'!L:L, MATCH($B157, 'Summary of Results'!$A:$A, 0)), (INDEX('Summary of Results'!L:L, MATCH($B157, 'Summary of Results'!$A:$A, 0))/INDEX('Summary of Results'!$G:$G, MATCH($B157, 'Summary of Results'!$A:$A, 0)) - 1)*100), NA()))</f>
        <v>#N/A</v>
      </c>
      <c r="J157" s="788" t="e">
        <f>IF(IFERROR(IF($C$77 = "Absolute", INDEX('Summary of Results'!M:M, MATCH($B157, 'Summary of Results'!$A:$A, 0)), (INDEX('Summary of Results'!M:M, MATCH($B157, 'Summary of Results'!$A:$A, 0))/INDEX('Summary of Results'!$G:$G, MATCH($B157, 'Summary of Results'!$A:$A, 0)) - 1)*100), NA()) = "", "", IFERROR(IF($C$77 = "Absolute", INDEX('Summary of Results'!M:M, MATCH($B157, 'Summary of Results'!$A:$A, 0)), (INDEX('Summary of Results'!M:M, MATCH($B157, 'Summary of Results'!$A:$A, 0))/INDEX('Summary of Results'!$G:$G, MATCH($B157, 'Summary of Results'!$A:$A, 0)) - 1)*100), NA()))</f>
        <v>#N/A</v>
      </c>
      <c r="K157"/>
      <c r="L157"/>
      <c r="M157"/>
      <c r="N157"/>
      <c r="O157"/>
      <c r="P157"/>
      <c r="Q157"/>
      <c r="R157" s="256"/>
      <c r="S157" s="256"/>
      <c r="T157" s="256"/>
      <c r="U157" s="256"/>
      <c r="V157" s="256"/>
      <c r="W157" s="256"/>
      <c r="X157" s="256"/>
      <c r="Y157" s="256"/>
    </row>
    <row r="158" spans="1:25" ht="20">
      <c r="A158"/>
      <c r="B158" s="733">
        <v>32</v>
      </c>
      <c r="C158" s="734" t="e">
        <f>IFERROR(INDEX('Summary of Results'!$B:$B, MATCH(B158, 'Summary of Results'!$A:$A, 0)), NA())</f>
        <v>#N/A</v>
      </c>
      <c r="D158" s="788" t="e">
        <f>IF(IFERROR(IF($C$77 = "Absolute", INDEX('Summary of Results'!G:G, MATCH($B158, 'Summary of Results'!$A:$A, 0)), (INDEX('Summary of Results'!G:G, MATCH($B158, 'Summary of Results'!$A:$A, 0))/INDEX('Summary of Results'!$G:$G, MATCH($B158, 'Summary of Results'!$A:$A, 0)) - 1)*100), NA()) = "", "", IFERROR(IF($C$77 = "Absolute", INDEX('Summary of Results'!G:G, MATCH($B158, 'Summary of Results'!$A:$A, 0)), (INDEX('Summary of Results'!G:G, MATCH($B158, 'Summary of Results'!$A:$A, 0))/INDEX('Summary of Results'!$G:$G, MATCH($B158, 'Summary of Results'!$A:$A, 0)) - 1)*100), NA()))</f>
        <v>#N/A</v>
      </c>
      <c r="E158" s="788" t="e">
        <f>IF(IFERROR(IF($C$77 = "Absolute", INDEX('Summary of Results'!H:H, MATCH($B158, 'Summary of Results'!$A:$A, 0)), (INDEX('Summary of Results'!H:H, MATCH($B158, 'Summary of Results'!$A:$A, 0))/INDEX('Summary of Results'!$G:$G, MATCH($B158, 'Summary of Results'!$A:$A, 0)) - 1)*100), NA()) = "", "", IFERROR(IF($C$77 = "Absolute", INDEX('Summary of Results'!H:H, MATCH($B158, 'Summary of Results'!$A:$A, 0)), (INDEX('Summary of Results'!H:H, MATCH($B158, 'Summary of Results'!$A:$A, 0))/INDEX('Summary of Results'!$G:$G, MATCH($B158, 'Summary of Results'!$A:$A, 0)) - 1)*100), NA()))</f>
        <v>#N/A</v>
      </c>
      <c r="F158" s="788" t="e">
        <f>IF(IFERROR(IF($C$77 = "Absolute", INDEX('Summary of Results'!I:I, MATCH($B158, 'Summary of Results'!$A:$A, 0)), (INDEX('Summary of Results'!I:I, MATCH($B158, 'Summary of Results'!$A:$A, 0))/INDEX('Summary of Results'!$G:$G, MATCH($B158, 'Summary of Results'!$A:$A, 0)) - 1)*100), NA()) = "", "", IFERROR(IF($C$77 = "Absolute", INDEX('Summary of Results'!I:I, MATCH($B158, 'Summary of Results'!$A:$A, 0)), (INDEX('Summary of Results'!I:I, MATCH($B158, 'Summary of Results'!$A:$A, 0))/INDEX('Summary of Results'!$G:$G, MATCH($B158, 'Summary of Results'!$A:$A, 0)) - 1)*100), NA()))</f>
        <v>#N/A</v>
      </c>
      <c r="G158" s="788" t="e">
        <f>IF(IFERROR(IF($C$77 = "Absolute", INDEX('Summary of Results'!J:J, MATCH($B158, 'Summary of Results'!$A:$A, 0)), (INDEX('Summary of Results'!J:J, MATCH($B158, 'Summary of Results'!$A:$A, 0))/INDEX('Summary of Results'!$G:$G, MATCH($B158, 'Summary of Results'!$A:$A, 0)) - 1)*100), NA()) = "", "", IFERROR(IF($C$77 = "Absolute", INDEX('Summary of Results'!J:J, MATCH($B158, 'Summary of Results'!$A:$A, 0)), (INDEX('Summary of Results'!J:J, MATCH($B158, 'Summary of Results'!$A:$A, 0))/INDEX('Summary of Results'!$G:$G, MATCH($B158, 'Summary of Results'!$A:$A, 0)) - 1)*100), NA()))</f>
        <v>#N/A</v>
      </c>
      <c r="H158" s="788" t="e">
        <f>IF(IFERROR(IF($C$77 = "Absolute", INDEX('Summary of Results'!K:K, MATCH($B158, 'Summary of Results'!$A:$A, 0)), (INDEX('Summary of Results'!K:K, MATCH($B158, 'Summary of Results'!$A:$A, 0))/INDEX('Summary of Results'!$G:$G, MATCH($B158, 'Summary of Results'!$A:$A, 0)) - 1)*100), NA()) = "", "", IFERROR(IF($C$77 = "Absolute", INDEX('Summary of Results'!K:K, MATCH($B158, 'Summary of Results'!$A:$A, 0)), (INDEX('Summary of Results'!K:K, MATCH($B158, 'Summary of Results'!$A:$A, 0))/INDEX('Summary of Results'!$G:$G, MATCH($B158, 'Summary of Results'!$A:$A, 0)) - 1)*100), NA()))</f>
        <v>#N/A</v>
      </c>
      <c r="I158" s="788" t="e">
        <f>IF(IFERROR(IF($C$77 = "Absolute", INDEX('Summary of Results'!L:L, MATCH($B158, 'Summary of Results'!$A:$A, 0)), (INDEX('Summary of Results'!L:L, MATCH($B158, 'Summary of Results'!$A:$A, 0))/INDEX('Summary of Results'!$G:$G, MATCH($B158, 'Summary of Results'!$A:$A, 0)) - 1)*100), NA()) = "", "", IFERROR(IF($C$77 = "Absolute", INDEX('Summary of Results'!L:L, MATCH($B158, 'Summary of Results'!$A:$A, 0)), (INDEX('Summary of Results'!L:L, MATCH($B158, 'Summary of Results'!$A:$A, 0))/INDEX('Summary of Results'!$G:$G, MATCH($B158, 'Summary of Results'!$A:$A, 0)) - 1)*100), NA()))</f>
        <v>#N/A</v>
      </c>
      <c r="J158" s="788" t="e">
        <f>IF(IFERROR(IF($C$77 = "Absolute", INDEX('Summary of Results'!M:M, MATCH($B158, 'Summary of Results'!$A:$A, 0)), (INDEX('Summary of Results'!M:M, MATCH($B158, 'Summary of Results'!$A:$A, 0))/INDEX('Summary of Results'!$G:$G, MATCH($B158, 'Summary of Results'!$A:$A, 0)) - 1)*100), NA()) = "", "", IFERROR(IF($C$77 = "Absolute", INDEX('Summary of Results'!M:M, MATCH($B158, 'Summary of Results'!$A:$A, 0)), (INDEX('Summary of Results'!M:M, MATCH($B158, 'Summary of Results'!$A:$A, 0))/INDEX('Summary of Results'!$G:$G, MATCH($B158, 'Summary of Results'!$A:$A, 0)) - 1)*100), NA()))</f>
        <v>#N/A</v>
      </c>
      <c r="K158"/>
      <c r="L158"/>
      <c r="M158"/>
      <c r="N158"/>
      <c r="O158"/>
      <c r="P158"/>
      <c r="Q158"/>
      <c r="R158" s="256"/>
      <c r="S158" s="256"/>
      <c r="T158" s="256"/>
      <c r="U158" s="256"/>
      <c r="V158" s="256"/>
      <c r="W158" s="256"/>
      <c r="X158" s="256"/>
      <c r="Y158" s="256"/>
    </row>
    <row r="159" spans="1:25" ht="20">
      <c r="A159"/>
      <c r="B159" s="733">
        <v>33</v>
      </c>
      <c r="C159" s="734" t="e">
        <f>IFERROR(INDEX('Summary of Results'!$B:$B, MATCH(B159, 'Summary of Results'!$A:$A, 0)), NA())</f>
        <v>#N/A</v>
      </c>
      <c r="D159" s="788" t="e">
        <f>IF(IFERROR(IF($C$77 = "Absolute", INDEX('Summary of Results'!G:G, MATCH($B159, 'Summary of Results'!$A:$A, 0)), (INDEX('Summary of Results'!G:G, MATCH($B159, 'Summary of Results'!$A:$A, 0))/INDEX('Summary of Results'!$G:$G, MATCH($B159, 'Summary of Results'!$A:$A, 0)) - 1)*100), NA()) = "", "", IFERROR(IF($C$77 = "Absolute", INDEX('Summary of Results'!G:G, MATCH($B159, 'Summary of Results'!$A:$A, 0)), (INDEX('Summary of Results'!G:G, MATCH($B159, 'Summary of Results'!$A:$A, 0))/INDEX('Summary of Results'!$G:$G, MATCH($B159, 'Summary of Results'!$A:$A, 0)) - 1)*100), NA()))</f>
        <v>#N/A</v>
      </c>
      <c r="E159" s="788" t="e">
        <f>IF(IFERROR(IF($C$77 = "Absolute", INDEX('Summary of Results'!H:H, MATCH($B159, 'Summary of Results'!$A:$A, 0)), (INDEX('Summary of Results'!H:H, MATCH($B159, 'Summary of Results'!$A:$A, 0))/INDEX('Summary of Results'!$G:$G, MATCH($B159, 'Summary of Results'!$A:$A, 0)) - 1)*100), NA()) = "", "", IFERROR(IF($C$77 = "Absolute", INDEX('Summary of Results'!H:H, MATCH($B159, 'Summary of Results'!$A:$A, 0)), (INDEX('Summary of Results'!H:H, MATCH($B159, 'Summary of Results'!$A:$A, 0))/INDEX('Summary of Results'!$G:$G, MATCH($B159, 'Summary of Results'!$A:$A, 0)) - 1)*100), NA()))</f>
        <v>#N/A</v>
      </c>
      <c r="F159" s="788" t="e">
        <f>IF(IFERROR(IF($C$77 = "Absolute", INDEX('Summary of Results'!I:I, MATCH($B159, 'Summary of Results'!$A:$A, 0)), (INDEX('Summary of Results'!I:I, MATCH($B159, 'Summary of Results'!$A:$A, 0))/INDEX('Summary of Results'!$G:$G, MATCH($B159, 'Summary of Results'!$A:$A, 0)) - 1)*100), NA()) = "", "", IFERROR(IF($C$77 = "Absolute", INDEX('Summary of Results'!I:I, MATCH($B159, 'Summary of Results'!$A:$A, 0)), (INDEX('Summary of Results'!I:I, MATCH($B159, 'Summary of Results'!$A:$A, 0))/INDEX('Summary of Results'!$G:$G, MATCH($B159, 'Summary of Results'!$A:$A, 0)) - 1)*100), NA()))</f>
        <v>#N/A</v>
      </c>
      <c r="G159" s="788" t="e">
        <f>IF(IFERROR(IF($C$77 = "Absolute", INDEX('Summary of Results'!J:J, MATCH($B159, 'Summary of Results'!$A:$A, 0)), (INDEX('Summary of Results'!J:J, MATCH($B159, 'Summary of Results'!$A:$A, 0))/INDEX('Summary of Results'!$G:$G, MATCH($B159, 'Summary of Results'!$A:$A, 0)) - 1)*100), NA()) = "", "", IFERROR(IF($C$77 = "Absolute", INDEX('Summary of Results'!J:J, MATCH($B159, 'Summary of Results'!$A:$A, 0)), (INDEX('Summary of Results'!J:J, MATCH($B159, 'Summary of Results'!$A:$A, 0))/INDEX('Summary of Results'!$G:$G, MATCH($B159, 'Summary of Results'!$A:$A, 0)) - 1)*100), NA()))</f>
        <v>#N/A</v>
      </c>
      <c r="H159" s="788" t="e">
        <f>IF(IFERROR(IF($C$77 = "Absolute", INDEX('Summary of Results'!K:K, MATCH($B159, 'Summary of Results'!$A:$A, 0)), (INDEX('Summary of Results'!K:K, MATCH($B159, 'Summary of Results'!$A:$A, 0))/INDEX('Summary of Results'!$G:$G, MATCH($B159, 'Summary of Results'!$A:$A, 0)) - 1)*100), NA()) = "", "", IFERROR(IF($C$77 = "Absolute", INDEX('Summary of Results'!K:K, MATCH($B159, 'Summary of Results'!$A:$A, 0)), (INDEX('Summary of Results'!K:K, MATCH($B159, 'Summary of Results'!$A:$A, 0))/INDEX('Summary of Results'!$G:$G, MATCH($B159, 'Summary of Results'!$A:$A, 0)) - 1)*100), NA()))</f>
        <v>#N/A</v>
      </c>
      <c r="I159" s="788" t="e">
        <f>IF(IFERROR(IF($C$77 = "Absolute", INDEX('Summary of Results'!L:L, MATCH($B159, 'Summary of Results'!$A:$A, 0)), (INDEX('Summary of Results'!L:L, MATCH($B159, 'Summary of Results'!$A:$A, 0))/INDEX('Summary of Results'!$G:$G, MATCH($B159, 'Summary of Results'!$A:$A, 0)) - 1)*100), NA()) = "", "", IFERROR(IF($C$77 = "Absolute", INDEX('Summary of Results'!L:L, MATCH($B159, 'Summary of Results'!$A:$A, 0)), (INDEX('Summary of Results'!L:L, MATCH($B159, 'Summary of Results'!$A:$A, 0))/INDEX('Summary of Results'!$G:$G, MATCH($B159, 'Summary of Results'!$A:$A, 0)) - 1)*100), NA()))</f>
        <v>#N/A</v>
      </c>
      <c r="J159" s="788" t="e">
        <f>IF(IFERROR(IF($C$77 = "Absolute", INDEX('Summary of Results'!M:M, MATCH($B159, 'Summary of Results'!$A:$A, 0)), (INDEX('Summary of Results'!M:M, MATCH($B159, 'Summary of Results'!$A:$A, 0))/INDEX('Summary of Results'!$G:$G, MATCH($B159, 'Summary of Results'!$A:$A, 0)) - 1)*100), NA()) = "", "", IFERROR(IF($C$77 = "Absolute", INDEX('Summary of Results'!M:M, MATCH($B159, 'Summary of Results'!$A:$A, 0)), (INDEX('Summary of Results'!M:M, MATCH($B159, 'Summary of Results'!$A:$A, 0))/INDEX('Summary of Results'!$G:$G, MATCH($B159, 'Summary of Results'!$A:$A, 0)) - 1)*100), NA()))</f>
        <v>#N/A</v>
      </c>
      <c r="K159"/>
      <c r="L159"/>
      <c r="M159"/>
      <c r="N159"/>
      <c r="O159"/>
      <c r="P159"/>
      <c r="Q159"/>
      <c r="R159" s="256"/>
      <c r="S159" s="256"/>
      <c r="T159" s="256"/>
      <c r="U159" s="256"/>
      <c r="V159" s="256"/>
      <c r="W159" s="256"/>
      <c r="X159" s="256"/>
      <c r="Y159" s="256"/>
    </row>
    <row r="160" spans="1:25" ht="20">
      <c r="A160"/>
      <c r="B160" s="733">
        <v>34</v>
      </c>
      <c r="C160" s="734" t="e">
        <f>IFERROR(INDEX('Summary of Results'!$B:$B, MATCH(B160, 'Summary of Results'!$A:$A, 0)), NA())</f>
        <v>#N/A</v>
      </c>
      <c r="D160" s="788" t="e">
        <f>IF(IFERROR(IF($C$77 = "Absolute", INDEX('Summary of Results'!G:G, MATCH($B160, 'Summary of Results'!$A:$A, 0)), (INDEX('Summary of Results'!G:G, MATCH($B160, 'Summary of Results'!$A:$A, 0))/INDEX('Summary of Results'!$G:$G, MATCH($B160, 'Summary of Results'!$A:$A, 0)) - 1)*100), NA()) = "", "", IFERROR(IF($C$77 = "Absolute", INDEX('Summary of Results'!G:G, MATCH($B160, 'Summary of Results'!$A:$A, 0)), (INDEX('Summary of Results'!G:G, MATCH($B160, 'Summary of Results'!$A:$A, 0))/INDEX('Summary of Results'!$G:$G, MATCH($B160, 'Summary of Results'!$A:$A, 0)) - 1)*100), NA()))</f>
        <v>#N/A</v>
      </c>
      <c r="E160" s="788" t="e">
        <f>IF(IFERROR(IF($C$77 = "Absolute", INDEX('Summary of Results'!H:H, MATCH($B160, 'Summary of Results'!$A:$A, 0)), (INDEX('Summary of Results'!H:H, MATCH($B160, 'Summary of Results'!$A:$A, 0))/INDEX('Summary of Results'!$G:$G, MATCH($B160, 'Summary of Results'!$A:$A, 0)) - 1)*100), NA()) = "", "", IFERROR(IF($C$77 = "Absolute", INDEX('Summary of Results'!H:H, MATCH($B160, 'Summary of Results'!$A:$A, 0)), (INDEX('Summary of Results'!H:H, MATCH($B160, 'Summary of Results'!$A:$A, 0))/INDEX('Summary of Results'!$G:$G, MATCH($B160, 'Summary of Results'!$A:$A, 0)) - 1)*100), NA()))</f>
        <v>#N/A</v>
      </c>
      <c r="F160" s="788" t="e">
        <f>IF(IFERROR(IF($C$77 = "Absolute", INDEX('Summary of Results'!I:I, MATCH($B160, 'Summary of Results'!$A:$A, 0)), (INDEX('Summary of Results'!I:I, MATCH($B160, 'Summary of Results'!$A:$A, 0))/INDEX('Summary of Results'!$G:$G, MATCH($B160, 'Summary of Results'!$A:$A, 0)) - 1)*100), NA()) = "", "", IFERROR(IF($C$77 = "Absolute", INDEX('Summary of Results'!I:I, MATCH($B160, 'Summary of Results'!$A:$A, 0)), (INDEX('Summary of Results'!I:I, MATCH($B160, 'Summary of Results'!$A:$A, 0))/INDEX('Summary of Results'!$G:$G, MATCH($B160, 'Summary of Results'!$A:$A, 0)) - 1)*100), NA()))</f>
        <v>#N/A</v>
      </c>
      <c r="G160" s="788" t="e">
        <f>IF(IFERROR(IF($C$77 = "Absolute", INDEX('Summary of Results'!J:J, MATCH($B160, 'Summary of Results'!$A:$A, 0)), (INDEX('Summary of Results'!J:J, MATCH($B160, 'Summary of Results'!$A:$A, 0))/INDEX('Summary of Results'!$G:$G, MATCH($B160, 'Summary of Results'!$A:$A, 0)) - 1)*100), NA()) = "", "", IFERROR(IF($C$77 = "Absolute", INDEX('Summary of Results'!J:J, MATCH($B160, 'Summary of Results'!$A:$A, 0)), (INDEX('Summary of Results'!J:J, MATCH($B160, 'Summary of Results'!$A:$A, 0))/INDEX('Summary of Results'!$G:$G, MATCH($B160, 'Summary of Results'!$A:$A, 0)) - 1)*100), NA()))</f>
        <v>#N/A</v>
      </c>
      <c r="H160" s="788" t="e">
        <f>IF(IFERROR(IF($C$77 = "Absolute", INDEX('Summary of Results'!K:K, MATCH($B160, 'Summary of Results'!$A:$A, 0)), (INDEX('Summary of Results'!K:K, MATCH($B160, 'Summary of Results'!$A:$A, 0))/INDEX('Summary of Results'!$G:$G, MATCH($B160, 'Summary of Results'!$A:$A, 0)) - 1)*100), NA()) = "", "", IFERROR(IF($C$77 = "Absolute", INDEX('Summary of Results'!K:K, MATCH($B160, 'Summary of Results'!$A:$A, 0)), (INDEX('Summary of Results'!K:K, MATCH($B160, 'Summary of Results'!$A:$A, 0))/INDEX('Summary of Results'!$G:$G, MATCH($B160, 'Summary of Results'!$A:$A, 0)) - 1)*100), NA()))</f>
        <v>#N/A</v>
      </c>
      <c r="I160" s="788" t="e">
        <f>IF(IFERROR(IF($C$77 = "Absolute", INDEX('Summary of Results'!L:L, MATCH($B160, 'Summary of Results'!$A:$A, 0)), (INDEX('Summary of Results'!L:L, MATCH($B160, 'Summary of Results'!$A:$A, 0))/INDEX('Summary of Results'!$G:$G, MATCH($B160, 'Summary of Results'!$A:$A, 0)) - 1)*100), NA()) = "", "", IFERROR(IF($C$77 = "Absolute", INDEX('Summary of Results'!L:L, MATCH($B160, 'Summary of Results'!$A:$A, 0)), (INDEX('Summary of Results'!L:L, MATCH($B160, 'Summary of Results'!$A:$A, 0))/INDEX('Summary of Results'!$G:$G, MATCH($B160, 'Summary of Results'!$A:$A, 0)) - 1)*100), NA()))</f>
        <v>#N/A</v>
      </c>
      <c r="J160" s="788" t="e">
        <f>IF(IFERROR(IF($C$77 = "Absolute", INDEX('Summary of Results'!M:M, MATCH($B160, 'Summary of Results'!$A:$A, 0)), (INDEX('Summary of Results'!M:M, MATCH($B160, 'Summary of Results'!$A:$A, 0))/INDEX('Summary of Results'!$G:$G, MATCH($B160, 'Summary of Results'!$A:$A, 0)) - 1)*100), NA()) = "", "", IFERROR(IF($C$77 = "Absolute", INDEX('Summary of Results'!M:M, MATCH($B160, 'Summary of Results'!$A:$A, 0)), (INDEX('Summary of Results'!M:M, MATCH($B160, 'Summary of Results'!$A:$A, 0))/INDEX('Summary of Results'!$G:$G, MATCH($B160, 'Summary of Results'!$A:$A, 0)) - 1)*100), NA()))</f>
        <v>#N/A</v>
      </c>
      <c r="K160"/>
      <c r="L160"/>
      <c r="M160"/>
      <c r="N160"/>
      <c r="O160"/>
      <c r="P160"/>
      <c r="Q160"/>
      <c r="R160" s="256"/>
      <c r="S160" s="256"/>
      <c r="T160" s="256"/>
      <c r="U160" s="256"/>
      <c r="V160" s="256"/>
      <c r="W160" s="256"/>
      <c r="X160" s="256"/>
      <c r="Y160" s="256"/>
    </row>
    <row r="161" spans="1:25" ht="20">
      <c r="A161"/>
      <c r="B161" s="733">
        <v>35</v>
      </c>
      <c r="C161" s="734" t="e">
        <f>IFERROR(INDEX('Summary of Results'!$B:$B, MATCH(B161, 'Summary of Results'!$A:$A, 0)), NA())</f>
        <v>#N/A</v>
      </c>
      <c r="D161" s="788" t="e">
        <f>IF(IFERROR(IF($C$77 = "Absolute", INDEX('Summary of Results'!G:G, MATCH($B161, 'Summary of Results'!$A:$A, 0)), (INDEX('Summary of Results'!G:G, MATCH($B161, 'Summary of Results'!$A:$A, 0))/INDEX('Summary of Results'!$G:$G, MATCH($B161, 'Summary of Results'!$A:$A, 0)) - 1)*100), NA()) = "", "", IFERROR(IF($C$77 = "Absolute", INDEX('Summary of Results'!G:G, MATCH($B161, 'Summary of Results'!$A:$A, 0)), (INDEX('Summary of Results'!G:G, MATCH($B161, 'Summary of Results'!$A:$A, 0))/INDEX('Summary of Results'!$G:$G, MATCH($B161, 'Summary of Results'!$A:$A, 0)) - 1)*100), NA()))</f>
        <v>#N/A</v>
      </c>
      <c r="E161" s="788" t="e">
        <f>IF(IFERROR(IF($C$77 = "Absolute", INDEX('Summary of Results'!H:H, MATCH($B161, 'Summary of Results'!$A:$A, 0)), (INDEX('Summary of Results'!H:H, MATCH($B161, 'Summary of Results'!$A:$A, 0))/INDEX('Summary of Results'!$G:$G, MATCH($B161, 'Summary of Results'!$A:$A, 0)) - 1)*100), NA()) = "", "", IFERROR(IF($C$77 = "Absolute", INDEX('Summary of Results'!H:H, MATCH($B161, 'Summary of Results'!$A:$A, 0)), (INDEX('Summary of Results'!H:H, MATCH($B161, 'Summary of Results'!$A:$A, 0))/INDEX('Summary of Results'!$G:$G, MATCH($B161, 'Summary of Results'!$A:$A, 0)) - 1)*100), NA()))</f>
        <v>#N/A</v>
      </c>
      <c r="F161" s="788" t="e">
        <f>IF(IFERROR(IF($C$77 = "Absolute", INDEX('Summary of Results'!I:I, MATCH($B161, 'Summary of Results'!$A:$A, 0)), (INDEX('Summary of Results'!I:I, MATCH($B161, 'Summary of Results'!$A:$A, 0))/INDEX('Summary of Results'!$G:$G, MATCH($B161, 'Summary of Results'!$A:$A, 0)) - 1)*100), NA()) = "", "", IFERROR(IF($C$77 = "Absolute", INDEX('Summary of Results'!I:I, MATCH($B161, 'Summary of Results'!$A:$A, 0)), (INDEX('Summary of Results'!I:I, MATCH($B161, 'Summary of Results'!$A:$A, 0))/INDEX('Summary of Results'!$G:$G, MATCH($B161, 'Summary of Results'!$A:$A, 0)) - 1)*100), NA()))</f>
        <v>#N/A</v>
      </c>
      <c r="G161" s="788" t="e">
        <f>IF(IFERROR(IF($C$77 = "Absolute", INDEX('Summary of Results'!J:J, MATCH($B161, 'Summary of Results'!$A:$A, 0)), (INDEX('Summary of Results'!J:J, MATCH($B161, 'Summary of Results'!$A:$A, 0))/INDEX('Summary of Results'!$G:$G, MATCH($B161, 'Summary of Results'!$A:$A, 0)) - 1)*100), NA()) = "", "", IFERROR(IF($C$77 = "Absolute", INDEX('Summary of Results'!J:J, MATCH($B161, 'Summary of Results'!$A:$A, 0)), (INDEX('Summary of Results'!J:J, MATCH($B161, 'Summary of Results'!$A:$A, 0))/INDEX('Summary of Results'!$G:$G, MATCH($B161, 'Summary of Results'!$A:$A, 0)) - 1)*100), NA()))</f>
        <v>#N/A</v>
      </c>
      <c r="H161" s="788" t="e">
        <f>IF(IFERROR(IF($C$77 = "Absolute", INDEX('Summary of Results'!K:K, MATCH($B161, 'Summary of Results'!$A:$A, 0)), (INDEX('Summary of Results'!K:K, MATCH($B161, 'Summary of Results'!$A:$A, 0))/INDEX('Summary of Results'!$G:$G, MATCH($B161, 'Summary of Results'!$A:$A, 0)) - 1)*100), NA()) = "", "", IFERROR(IF($C$77 = "Absolute", INDEX('Summary of Results'!K:K, MATCH($B161, 'Summary of Results'!$A:$A, 0)), (INDEX('Summary of Results'!K:K, MATCH($B161, 'Summary of Results'!$A:$A, 0))/INDEX('Summary of Results'!$G:$G, MATCH($B161, 'Summary of Results'!$A:$A, 0)) - 1)*100), NA()))</f>
        <v>#N/A</v>
      </c>
      <c r="I161" s="788" t="e">
        <f>IF(IFERROR(IF($C$77 = "Absolute", INDEX('Summary of Results'!L:L, MATCH($B161, 'Summary of Results'!$A:$A, 0)), (INDEX('Summary of Results'!L:L, MATCH($B161, 'Summary of Results'!$A:$A, 0))/INDEX('Summary of Results'!$G:$G, MATCH($B161, 'Summary of Results'!$A:$A, 0)) - 1)*100), NA()) = "", "", IFERROR(IF($C$77 = "Absolute", INDEX('Summary of Results'!L:L, MATCH($B161, 'Summary of Results'!$A:$A, 0)), (INDEX('Summary of Results'!L:L, MATCH($B161, 'Summary of Results'!$A:$A, 0))/INDEX('Summary of Results'!$G:$G, MATCH($B161, 'Summary of Results'!$A:$A, 0)) - 1)*100), NA()))</f>
        <v>#N/A</v>
      </c>
      <c r="J161" s="788" t="e">
        <f>IF(IFERROR(IF($C$77 = "Absolute", INDEX('Summary of Results'!M:M, MATCH($B161, 'Summary of Results'!$A:$A, 0)), (INDEX('Summary of Results'!M:M, MATCH($B161, 'Summary of Results'!$A:$A, 0))/INDEX('Summary of Results'!$G:$G, MATCH($B161, 'Summary of Results'!$A:$A, 0)) - 1)*100), NA()) = "", "", IFERROR(IF($C$77 = "Absolute", INDEX('Summary of Results'!M:M, MATCH($B161, 'Summary of Results'!$A:$A, 0)), (INDEX('Summary of Results'!M:M, MATCH($B161, 'Summary of Results'!$A:$A, 0))/INDEX('Summary of Results'!$G:$G, MATCH($B161, 'Summary of Results'!$A:$A, 0)) - 1)*100), NA()))</f>
        <v>#N/A</v>
      </c>
      <c r="K161"/>
      <c r="L161"/>
      <c r="M161"/>
      <c r="N161"/>
      <c r="O161"/>
      <c r="P161"/>
      <c r="Q161"/>
      <c r="R161" s="256"/>
      <c r="S161" s="256"/>
      <c r="T161" s="256"/>
      <c r="U161" s="256"/>
      <c r="V161" s="256"/>
      <c r="W161" s="256"/>
      <c r="X161" s="256"/>
      <c r="Y161" s="256"/>
    </row>
    <row r="162" spans="1:25" ht="20">
      <c r="A162"/>
      <c r="B162" s="733">
        <v>36</v>
      </c>
      <c r="C162" s="734" t="e">
        <f>IFERROR(INDEX('Summary of Results'!$B:$B, MATCH(B162, 'Summary of Results'!$A:$A, 0)), NA())</f>
        <v>#N/A</v>
      </c>
      <c r="D162" s="788" t="e">
        <f>IF(IFERROR(IF($C$77 = "Absolute", INDEX('Summary of Results'!G:G, MATCH($B162, 'Summary of Results'!$A:$A, 0)), (INDEX('Summary of Results'!G:G, MATCH($B162, 'Summary of Results'!$A:$A, 0))/INDEX('Summary of Results'!$G:$G, MATCH($B162, 'Summary of Results'!$A:$A, 0)) - 1)*100), NA()) = "", "", IFERROR(IF($C$77 = "Absolute", INDEX('Summary of Results'!G:G, MATCH($B162, 'Summary of Results'!$A:$A, 0)), (INDEX('Summary of Results'!G:G, MATCH($B162, 'Summary of Results'!$A:$A, 0))/INDEX('Summary of Results'!$G:$G, MATCH($B162, 'Summary of Results'!$A:$A, 0)) - 1)*100), NA()))</f>
        <v>#N/A</v>
      </c>
      <c r="E162" s="788" t="e">
        <f>IF(IFERROR(IF($C$77 = "Absolute", INDEX('Summary of Results'!H:H, MATCH($B162, 'Summary of Results'!$A:$A, 0)), (INDEX('Summary of Results'!H:H, MATCH($B162, 'Summary of Results'!$A:$A, 0))/INDEX('Summary of Results'!$G:$G, MATCH($B162, 'Summary of Results'!$A:$A, 0)) - 1)*100), NA()) = "", "", IFERROR(IF($C$77 = "Absolute", INDEX('Summary of Results'!H:H, MATCH($B162, 'Summary of Results'!$A:$A, 0)), (INDEX('Summary of Results'!H:H, MATCH($B162, 'Summary of Results'!$A:$A, 0))/INDEX('Summary of Results'!$G:$G, MATCH($B162, 'Summary of Results'!$A:$A, 0)) - 1)*100), NA()))</f>
        <v>#N/A</v>
      </c>
      <c r="F162" s="788" t="e">
        <f>IF(IFERROR(IF($C$77 = "Absolute", INDEX('Summary of Results'!I:I, MATCH($B162, 'Summary of Results'!$A:$A, 0)), (INDEX('Summary of Results'!I:I, MATCH($B162, 'Summary of Results'!$A:$A, 0))/INDEX('Summary of Results'!$G:$G, MATCH($B162, 'Summary of Results'!$A:$A, 0)) - 1)*100), NA()) = "", "", IFERROR(IF($C$77 = "Absolute", INDEX('Summary of Results'!I:I, MATCH($B162, 'Summary of Results'!$A:$A, 0)), (INDEX('Summary of Results'!I:I, MATCH($B162, 'Summary of Results'!$A:$A, 0))/INDEX('Summary of Results'!$G:$G, MATCH($B162, 'Summary of Results'!$A:$A, 0)) - 1)*100), NA()))</f>
        <v>#N/A</v>
      </c>
      <c r="G162" s="788" t="e">
        <f>IF(IFERROR(IF($C$77 = "Absolute", INDEX('Summary of Results'!J:J, MATCH($B162, 'Summary of Results'!$A:$A, 0)), (INDEX('Summary of Results'!J:J, MATCH($B162, 'Summary of Results'!$A:$A, 0))/INDEX('Summary of Results'!$G:$G, MATCH($B162, 'Summary of Results'!$A:$A, 0)) - 1)*100), NA()) = "", "", IFERROR(IF($C$77 = "Absolute", INDEX('Summary of Results'!J:J, MATCH($B162, 'Summary of Results'!$A:$A, 0)), (INDEX('Summary of Results'!J:J, MATCH($B162, 'Summary of Results'!$A:$A, 0))/INDEX('Summary of Results'!$G:$G, MATCH($B162, 'Summary of Results'!$A:$A, 0)) - 1)*100), NA()))</f>
        <v>#N/A</v>
      </c>
      <c r="H162" s="788" t="e">
        <f>IF(IFERROR(IF($C$77 = "Absolute", INDEX('Summary of Results'!K:K, MATCH($B162, 'Summary of Results'!$A:$A, 0)), (INDEX('Summary of Results'!K:K, MATCH($B162, 'Summary of Results'!$A:$A, 0))/INDEX('Summary of Results'!$G:$G, MATCH($B162, 'Summary of Results'!$A:$A, 0)) - 1)*100), NA()) = "", "", IFERROR(IF($C$77 = "Absolute", INDEX('Summary of Results'!K:K, MATCH($B162, 'Summary of Results'!$A:$A, 0)), (INDEX('Summary of Results'!K:K, MATCH($B162, 'Summary of Results'!$A:$A, 0))/INDEX('Summary of Results'!$G:$G, MATCH($B162, 'Summary of Results'!$A:$A, 0)) - 1)*100), NA()))</f>
        <v>#N/A</v>
      </c>
      <c r="I162" s="788" t="e">
        <f>IF(IFERROR(IF($C$77 = "Absolute", INDEX('Summary of Results'!L:L, MATCH($B162, 'Summary of Results'!$A:$A, 0)), (INDEX('Summary of Results'!L:L, MATCH($B162, 'Summary of Results'!$A:$A, 0))/INDEX('Summary of Results'!$G:$G, MATCH($B162, 'Summary of Results'!$A:$A, 0)) - 1)*100), NA()) = "", "", IFERROR(IF($C$77 = "Absolute", INDEX('Summary of Results'!L:L, MATCH($B162, 'Summary of Results'!$A:$A, 0)), (INDEX('Summary of Results'!L:L, MATCH($B162, 'Summary of Results'!$A:$A, 0))/INDEX('Summary of Results'!$G:$G, MATCH($B162, 'Summary of Results'!$A:$A, 0)) - 1)*100), NA()))</f>
        <v>#N/A</v>
      </c>
      <c r="J162" s="788" t="e">
        <f>IF(IFERROR(IF($C$77 = "Absolute", INDEX('Summary of Results'!M:M, MATCH($B162, 'Summary of Results'!$A:$A, 0)), (INDEX('Summary of Results'!M:M, MATCH($B162, 'Summary of Results'!$A:$A, 0))/INDEX('Summary of Results'!$G:$G, MATCH($B162, 'Summary of Results'!$A:$A, 0)) - 1)*100), NA()) = "", "", IFERROR(IF($C$77 = "Absolute", INDEX('Summary of Results'!M:M, MATCH($B162, 'Summary of Results'!$A:$A, 0)), (INDEX('Summary of Results'!M:M, MATCH($B162, 'Summary of Results'!$A:$A, 0))/INDEX('Summary of Results'!$G:$G, MATCH($B162, 'Summary of Results'!$A:$A, 0)) - 1)*100), NA()))</f>
        <v>#N/A</v>
      </c>
      <c r="K162"/>
      <c r="L162"/>
      <c r="M162"/>
      <c r="N162"/>
      <c r="O162"/>
      <c r="P162"/>
      <c r="Q162"/>
      <c r="R162" s="256"/>
      <c r="S162" s="256"/>
      <c r="T162" s="256"/>
      <c r="U162" s="256"/>
      <c r="V162" s="256"/>
      <c r="W162" s="256"/>
      <c r="X162" s="256"/>
      <c r="Y162" s="256"/>
    </row>
    <row r="163" spans="1:25" ht="20">
      <c r="A163"/>
      <c r="B163" s="733">
        <v>37</v>
      </c>
      <c r="C163" s="734" t="e">
        <f>IFERROR(INDEX('Summary of Results'!$B:$B, MATCH(B163, 'Summary of Results'!$A:$A, 0)), NA())</f>
        <v>#N/A</v>
      </c>
      <c r="D163" s="788" t="e">
        <f>IF(IFERROR(IF($C$77 = "Absolute", INDEX('Summary of Results'!G:G, MATCH($B163, 'Summary of Results'!$A:$A, 0)), (INDEX('Summary of Results'!G:G, MATCH($B163, 'Summary of Results'!$A:$A, 0))/INDEX('Summary of Results'!$G:$G, MATCH($B163, 'Summary of Results'!$A:$A, 0)) - 1)*100), NA()) = "", "", IFERROR(IF($C$77 = "Absolute", INDEX('Summary of Results'!G:G, MATCH($B163, 'Summary of Results'!$A:$A, 0)), (INDEX('Summary of Results'!G:G, MATCH($B163, 'Summary of Results'!$A:$A, 0))/INDEX('Summary of Results'!$G:$G, MATCH($B163, 'Summary of Results'!$A:$A, 0)) - 1)*100), NA()))</f>
        <v>#N/A</v>
      </c>
      <c r="E163" s="788" t="e">
        <f>IF(IFERROR(IF($C$77 = "Absolute", INDEX('Summary of Results'!H:H, MATCH($B163, 'Summary of Results'!$A:$A, 0)), (INDEX('Summary of Results'!H:H, MATCH($B163, 'Summary of Results'!$A:$A, 0))/INDEX('Summary of Results'!$G:$G, MATCH($B163, 'Summary of Results'!$A:$A, 0)) - 1)*100), NA()) = "", "", IFERROR(IF($C$77 = "Absolute", INDEX('Summary of Results'!H:H, MATCH($B163, 'Summary of Results'!$A:$A, 0)), (INDEX('Summary of Results'!H:H, MATCH($B163, 'Summary of Results'!$A:$A, 0))/INDEX('Summary of Results'!$G:$G, MATCH($B163, 'Summary of Results'!$A:$A, 0)) - 1)*100), NA()))</f>
        <v>#N/A</v>
      </c>
      <c r="F163" s="788" t="e">
        <f>IF(IFERROR(IF($C$77 = "Absolute", INDEX('Summary of Results'!I:I, MATCH($B163, 'Summary of Results'!$A:$A, 0)), (INDEX('Summary of Results'!I:I, MATCH($B163, 'Summary of Results'!$A:$A, 0))/INDEX('Summary of Results'!$G:$G, MATCH($B163, 'Summary of Results'!$A:$A, 0)) - 1)*100), NA()) = "", "", IFERROR(IF($C$77 = "Absolute", INDEX('Summary of Results'!I:I, MATCH($B163, 'Summary of Results'!$A:$A, 0)), (INDEX('Summary of Results'!I:I, MATCH($B163, 'Summary of Results'!$A:$A, 0))/INDEX('Summary of Results'!$G:$G, MATCH($B163, 'Summary of Results'!$A:$A, 0)) - 1)*100), NA()))</f>
        <v>#N/A</v>
      </c>
      <c r="G163" s="788" t="e">
        <f>IF(IFERROR(IF($C$77 = "Absolute", INDEX('Summary of Results'!J:J, MATCH($B163, 'Summary of Results'!$A:$A, 0)), (INDEX('Summary of Results'!J:J, MATCH($B163, 'Summary of Results'!$A:$A, 0))/INDEX('Summary of Results'!$G:$G, MATCH($B163, 'Summary of Results'!$A:$A, 0)) - 1)*100), NA()) = "", "", IFERROR(IF($C$77 = "Absolute", INDEX('Summary of Results'!J:J, MATCH($B163, 'Summary of Results'!$A:$A, 0)), (INDEX('Summary of Results'!J:J, MATCH($B163, 'Summary of Results'!$A:$A, 0))/INDEX('Summary of Results'!$G:$G, MATCH($B163, 'Summary of Results'!$A:$A, 0)) - 1)*100), NA()))</f>
        <v>#N/A</v>
      </c>
      <c r="H163" s="788" t="e">
        <f>IF(IFERROR(IF($C$77 = "Absolute", INDEX('Summary of Results'!K:K, MATCH($B163, 'Summary of Results'!$A:$A, 0)), (INDEX('Summary of Results'!K:K, MATCH($B163, 'Summary of Results'!$A:$A, 0))/INDEX('Summary of Results'!$G:$G, MATCH($B163, 'Summary of Results'!$A:$A, 0)) - 1)*100), NA()) = "", "", IFERROR(IF($C$77 = "Absolute", INDEX('Summary of Results'!K:K, MATCH($B163, 'Summary of Results'!$A:$A, 0)), (INDEX('Summary of Results'!K:K, MATCH($B163, 'Summary of Results'!$A:$A, 0))/INDEX('Summary of Results'!$G:$G, MATCH($B163, 'Summary of Results'!$A:$A, 0)) - 1)*100), NA()))</f>
        <v>#N/A</v>
      </c>
      <c r="I163" s="788" t="e">
        <f>IF(IFERROR(IF($C$77 = "Absolute", INDEX('Summary of Results'!L:L, MATCH($B163, 'Summary of Results'!$A:$A, 0)), (INDEX('Summary of Results'!L:L, MATCH($B163, 'Summary of Results'!$A:$A, 0))/INDEX('Summary of Results'!$G:$G, MATCH($B163, 'Summary of Results'!$A:$A, 0)) - 1)*100), NA()) = "", "", IFERROR(IF($C$77 = "Absolute", INDEX('Summary of Results'!L:L, MATCH($B163, 'Summary of Results'!$A:$A, 0)), (INDEX('Summary of Results'!L:L, MATCH($B163, 'Summary of Results'!$A:$A, 0))/INDEX('Summary of Results'!$G:$G, MATCH($B163, 'Summary of Results'!$A:$A, 0)) - 1)*100), NA()))</f>
        <v>#N/A</v>
      </c>
      <c r="J163" s="788" t="e">
        <f>IF(IFERROR(IF($C$77 = "Absolute", INDEX('Summary of Results'!M:M, MATCH($B163, 'Summary of Results'!$A:$A, 0)), (INDEX('Summary of Results'!M:M, MATCH($B163, 'Summary of Results'!$A:$A, 0))/INDEX('Summary of Results'!$G:$G, MATCH($B163, 'Summary of Results'!$A:$A, 0)) - 1)*100), NA()) = "", "", IFERROR(IF($C$77 = "Absolute", INDEX('Summary of Results'!M:M, MATCH($B163, 'Summary of Results'!$A:$A, 0)), (INDEX('Summary of Results'!M:M, MATCH($B163, 'Summary of Results'!$A:$A, 0))/INDEX('Summary of Results'!$G:$G, MATCH($B163, 'Summary of Results'!$A:$A, 0)) - 1)*100), NA()))</f>
        <v>#N/A</v>
      </c>
      <c r="K163"/>
      <c r="L163"/>
      <c r="M163"/>
      <c r="N163"/>
      <c r="O163"/>
      <c r="P163"/>
      <c r="Q163"/>
      <c r="R163" s="256"/>
      <c r="S163" s="256"/>
      <c r="T163" s="256"/>
      <c r="U163" s="256"/>
      <c r="V163" s="256"/>
      <c r="W163" s="256"/>
      <c r="X163" s="256"/>
      <c r="Y163" s="256"/>
    </row>
    <row r="164" spans="1:25" customFormat="1" ht="20">
      <c r="B164" s="733">
        <v>38</v>
      </c>
      <c r="C164" s="734" t="e">
        <f>IFERROR(INDEX('Summary of Results'!$B:$B, MATCH(B164, 'Summary of Results'!$A:$A, 0)), NA())</f>
        <v>#N/A</v>
      </c>
      <c r="D164" s="788" t="e">
        <f>IF(IFERROR(IF($C$77 = "Absolute", INDEX('Summary of Results'!G:G, MATCH($B164, 'Summary of Results'!$A:$A, 0)), (INDEX('Summary of Results'!G:G, MATCH($B164, 'Summary of Results'!$A:$A, 0))/INDEX('Summary of Results'!$G:$G, MATCH($B164, 'Summary of Results'!$A:$A, 0)) - 1)*100), NA()) = "", "", IFERROR(IF($C$77 = "Absolute", INDEX('Summary of Results'!G:G, MATCH($B164, 'Summary of Results'!$A:$A, 0)), (INDEX('Summary of Results'!G:G, MATCH($B164, 'Summary of Results'!$A:$A, 0))/INDEX('Summary of Results'!$G:$G, MATCH($B164, 'Summary of Results'!$A:$A, 0)) - 1)*100), NA()))</f>
        <v>#N/A</v>
      </c>
      <c r="E164" s="788" t="e">
        <f>IF(IFERROR(IF($C$77 = "Absolute", INDEX('Summary of Results'!H:H, MATCH($B164, 'Summary of Results'!$A:$A, 0)), (INDEX('Summary of Results'!H:H, MATCH($B164, 'Summary of Results'!$A:$A, 0))/INDEX('Summary of Results'!$G:$G, MATCH($B164, 'Summary of Results'!$A:$A, 0)) - 1)*100), NA()) = "", "", IFERROR(IF($C$77 = "Absolute", INDEX('Summary of Results'!H:H, MATCH($B164, 'Summary of Results'!$A:$A, 0)), (INDEX('Summary of Results'!H:H, MATCH($B164, 'Summary of Results'!$A:$A, 0))/INDEX('Summary of Results'!$G:$G, MATCH($B164, 'Summary of Results'!$A:$A, 0)) - 1)*100), NA()))</f>
        <v>#N/A</v>
      </c>
      <c r="F164" s="788" t="e">
        <f>IF(IFERROR(IF($C$77 = "Absolute", INDEX('Summary of Results'!I:I, MATCH($B164, 'Summary of Results'!$A:$A, 0)), (INDEX('Summary of Results'!I:I, MATCH($B164, 'Summary of Results'!$A:$A, 0))/INDEX('Summary of Results'!$G:$G, MATCH($B164, 'Summary of Results'!$A:$A, 0)) - 1)*100), NA()) = "", "", IFERROR(IF($C$77 = "Absolute", INDEX('Summary of Results'!I:I, MATCH($B164, 'Summary of Results'!$A:$A, 0)), (INDEX('Summary of Results'!I:I, MATCH($B164, 'Summary of Results'!$A:$A, 0))/INDEX('Summary of Results'!$G:$G, MATCH($B164, 'Summary of Results'!$A:$A, 0)) - 1)*100), NA()))</f>
        <v>#N/A</v>
      </c>
      <c r="G164" s="788" t="e">
        <f>IF(IFERROR(IF($C$77 = "Absolute", INDEX('Summary of Results'!J:J, MATCH($B164, 'Summary of Results'!$A:$A, 0)), (INDEX('Summary of Results'!J:J, MATCH($B164, 'Summary of Results'!$A:$A, 0))/INDEX('Summary of Results'!$G:$G, MATCH($B164, 'Summary of Results'!$A:$A, 0)) - 1)*100), NA()) = "", "", IFERROR(IF($C$77 = "Absolute", INDEX('Summary of Results'!J:J, MATCH($B164, 'Summary of Results'!$A:$A, 0)), (INDEX('Summary of Results'!J:J, MATCH($B164, 'Summary of Results'!$A:$A, 0))/INDEX('Summary of Results'!$G:$G, MATCH($B164, 'Summary of Results'!$A:$A, 0)) - 1)*100), NA()))</f>
        <v>#N/A</v>
      </c>
      <c r="H164" s="788" t="e">
        <f>IF(IFERROR(IF($C$77 = "Absolute", INDEX('Summary of Results'!K:K, MATCH($B164, 'Summary of Results'!$A:$A, 0)), (INDEX('Summary of Results'!K:K, MATCH($B164, 'Summary of Results'!$A:$A, 0))/INDEX('Summary of Results'!$G:$G, MATCH($B164, 'Summary of Results'!$A:$A, 0)) - 1)*100), NA()) = "", "", IFERROR(IF($C$77 = "Absolute", INDEX('Summary of Results'!K:K, MATCH($B164, 'Summary of Results'!$A:$A, 0)), (INDEX('Summary of Results'!K:K, MATCH($B164, 'Summary of Results'!$A:$A, 0))/INDEX('Summary of Results'!$G:$G, MATCH($B164, 'Summary of Results'!$A:$A, 0)) - 1)*100), NA()))</f>
        <v>#N/A</v>
      </c>
      <c r="I164" s="788" t="e">
        <f>IF(IFERROR(IF($C$77 = "Absolute", INDEX('Summary of Results'!L:L, MATCH($B164, 'Summary of Results'!$A:$A, 0)), (INDEX('Summary of Results'!L:L, MATCH($B164, 'Summary of Results'!$A:$A, 0))/INDEX('Summary of Results'!$G:$G, MATCH($B164, 'Summary of Results'!$A:$A, 0)) - 1)*100), NA()) = "", "", IFERROR(IF($C$77 = "Absolute", INDEX('Summary of Results'!L:L, MATCH($B164, 'Summary of Results'!$A:$A, 0)), (INDEX('Summary of Results'!L:L, MATCH($B164, 'Summary of Results'!$A:$A, 0))/INDEX('Summary of Results'!$G:$G, MATCH($B164, 'Summary of Results'!$A:$A, 0)) - 1)*100), NA()))</f>
        <v>#N/A</v>
      </c>
      <c r="J164" s="788" t="e">
        <f>IF(IFERROR(IF($C$77 = "Absolute", INDEX('Summary of Results'!M:M, MATCH($B164, 'Summary of Results'!$A:$A, 0)), (INDEX('Summary of Results'!M:M, MATCH($B164, 'Summary of Results'!$A:$A, 0))/INDEX('Summary of Results'!$G:$G, MATCH($B164, 'Summary of Results'!$A:$A, 0)) - 1)*100), NA()) = "", "", IFERROR(IF($C$77 = "Absolute", INDEX('Summary of Results'!M:M, MATCH($B164, 'Summary of Results'!$A:$A, 0)), (INDEX('Summary of Results'!M:M, MATCH($B164, 'Summary of Results'!$A:$A, 0))/INDEX('Summary of Results'!$G:$G, MATCH($B164, 'Summary of Results'!$A:$A, 0)) - 1)*100), NA()))</f>
        <v>#N/A</v>
      </c>
    </row>
    <row r="165" spans="1:25" customFormat="1" ht="20">
      <c r="B165" s="733">
        <v>39</v>
      </c>
      <c r="C165" s="734" t="e">
        <f>IFERROR(INDEX('Summary of Results'!$B:$B, MATCH(B165, 'Summary of Results'!$A:$A, 0)), NA())</f>
        <v>#N/A</v>
      </c>
      <c r="D165" s="788" t="e">
        <f>IF(IFERROR(IF($C$77 = "Absolute", INDEX('Summary of Results'!G:G, MATCH($B165, 'Summary of Results'!$A:$A, 0)), (INDEX('Summary of Results'!G:G, MATCH($B165, 'Summary of Results'!$A:$A, 0))/INDEX('Summary of Results'!$G:$G, MATCH($B165, 'Summary of Results'!$A:$A, 0)) - 1)*100), NA()) = "", "", IFERROR(IF($C$77 = "Absolute", INDEX('Summary of Results'!G:G, MATCH($B165, 'Summary of Results'!$A:$A, 0)), (INDEX('Summary of Results'!G:G, MATCH($B165, 'Summary of Results'!$A:$A, 0))/INDEX('Summary of Results'!$G:$G, MATCH($B165, 'Summary of Results'!$A:$A, 0)) - 1)*100), NA()))</f>
        <v>#N/A</v>
      </c>
      <c r="E165" s="788" t="e">
        <f>IF(IFERROR(IF($C$77 = "Absolute", INDEX('Summary of Results'!H:H, MATCH($B165, 'Summary of Results'!$A:$A, 0)), (INDEX('Summary of Results'!H:H, MATCH($B165, 'Summary of Results'!$A:$A, 0))/INDEX('Summary of Results'!$G:$G, MATCH($B165, 'Summary of Results'!$A:$A, 0)) - 1)*100), NA()) = "", "", IFERROR(IF($C$77 = "Absolute", INDEX('Summary of Results'!H:H, MATCH($B165, 'Summary of Results'!$A:$A, 0)), (INDEX('Summary of Results'!H:H, MATCH($B165, 'Summary of Results'!$A:$A, 0))/INDEX('Summary of Results'!$G:$G, MATCH($B165, 'Summary of Results'!$A:$A, 0)) - 1)*100), NA()))</f>
        <v>#N/A</v>
      </c>
      <c r="F165" s="788" t="e">
        <f>IF(IFERROR(IF($C$77 = "Absolute", INDEX('Summary of Results'!I:I, MATCH($B165, 'Summary of Results'!$A:$A, 0)), (INDEX('Summary of Results'!I:I, MATCH($B165, 'Summary of Results'!$A:$A, 0))/INDEX('Summary of Results'!$G:$G, MATCH($B165, 'Summary of Results'!$A:$A, 0)) - 1)*100), NA()) = "", "", IFERROR(IF($C$77 = "Absolute", INDEX('Summary of Results'!I:I, MATCH($B165, 'Summary of Results'!$A:$A, 0)), (INDEX('Summary of Results'!I:I, MATCH($B165, 'Summary of Results'!$A:$A, 0))/INDEX('Summary of Results'!$G:$G, MATCH($B165, 'Summary of Results'!$A:$A, 0)) - 1)*100), NA()))</f>
        <v>#N/A</v>
      </c>
      <c r="G165" s="788" t="e">
        <f>IF(IFERROR(IF($C$77 = "Absolute", INDEX('Summary of Results'!J:J, MATCH($B165, 'Summary of Results'!$A:$A, 0)), (INDEX('Summary of Results'!J:J, MATCH($B165, 'Summary of Results'!$A:$A, 0))/INDEX('Summary of Results'!$G:$G, MATCH($B165, 'Summary of Results'!$A:$A, 0)) - 1)*100), NA()) = "", "", IFERROR(IF($C$77 = "Absolute", INDEX('Summary of Results'!J:J, MATCH($B165, 'Summary of Results'!$A:$A, 0)), (INDEX('Summary of Results'!J:J, MATCH($B165, 'Summary of Results'!$A:$A, 0))/INDEX('Summary of Results'!$G:$G, MATCH($B165, 'Summary of Results'!$A:$A, 0)) - 1)*100), NA()))</f>
        <v>#N/A</v>
      </c>
      <c r="H165" s="788" t="e">
        <f>IF(IFERROR(IF($C$77 = "Absolute", INDEX('Summary of Results'!K:K, MATCH($B165, 'Summary of Results'!$A:$A, 0)), (INDEX('Summary of Results'!K:K, MATCH($B165, 'Summary of Results'!$A:$A, 0))/INDEX('Summary of Results'!$G:$G, MATCH($B165, 'Summary of Results'!$A:$A, 0)) - 1)*100), NA()) = "", "", IFERROR(IF($C$77 = "Absolute", INDEX('Summary of Results'!K:K, MATCH($B165, 'Summary of Results'!$A:$A, 0)), (INDEX('Summary of Results'!K:K, MATCH($B165, 'Summary of Results'!$A:$A, 0))/INDEX('Summary of Results'!$G:$G, MATCH($B165, 'Summary of Results'!$A:$A, 0)) - 1)*100), NA()))</f>
        <v>#N/A</v>
      </c>
      <c r="I165" s="788" t="e">
        <f>IF(IFERROR(IF($C$77 = "Absolute", INDEX('Summary of Results'!L:L, MATCH($B165, 'Summary of Results'!$A:$A, 0)), (INDEX('Summary of Results'!L:L, MATCH($B165, 'Summary of Results'!$A:$A, 0))/INDEX('Summary of Results'!$G:$G, MATCH($B165, 'Summary of Results'!$A:$A, 0)) - 1)*100), NA()) = "", "", IFERROR(IF($C$77 = "Absolute", INDEX('Summary of Results'!L:L, MATCH($B165, 'Summary of Results'!$A:$A, 0)), (INDEX('Summary of Results'!L:L, MATCH($B165, 'Summary of Results'!$A:$A, 0))/INDEX('Summary of Results'!$G:$G, MATCH($B165, 'Summary of Results'!$A:$A, 0)) - 1)*100), NA()))</f>
        <v>#N/A</v>
      </c>
      <c r="J165" s="788" t="e">
        <f>IF(IFERROR(IF($C$77 = "Absolute", INDEX('Summary of Results'!M:M, MATCH($B165, 'Summary of Results'!$A:$A, 0)), (INDEX('Summary of Results'!M:M, MATCH($B165, 'Summary of Results'!$A:$A, 0))/INDEX('Summary of Results'!$G:$G, MATCH($B165, 'Summary of Results'!$A:$A, 0)) - 1)*100), NA()) = "", "", IFERROR(IF($C$77 = "Absolute", INDEX('Summary of Results'!M:M, MATCH($B165, 'Summary of Results'!$A:$A, 0)), (INDEX('Summary of Results'!M:M, MATCH($B165, 'Summary of Results'!$A:$A, 0))/INDEX('Summary of Results'!$G:$G, MATCH($B165, 'Summary of Results'!$A:$A, 0)) - 1)*100), NA()))</f>
        <v>#N/A</v>
      </c>
    </row>
    <row r="166" spans="1:25" customFormat="1" ht="20">
      <c r="B166" s="733">
        <v>40</v>
      </c>
      <c r="C166" s="734" t="e">
        <f>IFERROR(INDEX('Summary of Results'!$B:$B, MATCH(B166, 'Summary of Results'!$A:$A, 0)), NA())</f>
        <v>#N/A</v>
      </c>
      <c r="D166" s="788" t="e">
        <f>IF(IFERROR(IF($C$77 = "Absolute", INDEX('Summary of Results'!G:G, MATCH($B166, 'Summary of Results'!$A:$A, 0)), (INDEX('Summary of Results'!G:G, MATCH($B166, 'Summary of Results'!$A:$A, 0))/INDEX('Summary of Results'!$G:$G, MATCH($B166, 'Summary of Results'!$A:$A, 0)) - 1)*100), NA()) = "", "", IFERROR(IF($C$77 = "Absolute", INDEX('Summary of Results'!G:G, MATCH($B166, 'Summary of Results'!$A:$A, 0)), (INDEX('Summary of Results'!G:G, MATCH($B166, 'Summary of Results'!$A:$A, 0))/INDEX('Summary of Results'!$G:$G, MATCH($B166, 'Summary of Results'!$A:$A, 0)) - 1)*100), NA()))</f>
        <v>#N/A</v>
      </c>
      <c r="E166" s="788" t="e">
        <f>IF(IFERROR(IF($C$77 = "Absolute", INDEX('Summary of Results'!H:H, MATCH($B166, 'Summary of Results'!$A:$A, 0)), (INDEX('Summary of Results'!H:H, MATCH($B166, 'Summary of Results'!$A:$A, 0))/INDEX('Summary of Results'!$G:$G, MATCH($B166, 'Summary of Results'!$A:$A, 0)) - 1)*100), NA()) = "", "", IFERROR(IF($C$77 = "Absolute", INDEX('Summary of Results'!H:H, MATCH($B166, 'Summary of Results'!$A:$A, 0)), (INDEX('Summary of Results'!H:H, MATCH($B166, 'Summary of Results'!$A:$A, 0))/INDEX('Summary of Results'!$G:$G, MATCH($B166, 'Summary of Results'!$A:$A, 0)) - 1)*100), NA()))</f>
        <v>#N/A</v>
      </c>
      <c r="F166" s="788" t="e">
        <f>IF(IFERROR(IF($C$77 = "Absolute", INDEX('Summary of Results'!I:I, MATCH($B166, 'Summary of Results'!$A:$A, 0)), (INDEX('Summary of Results'!I:I, MATCH($B166, 'Summary of Results'!$A:$A, 0))/INDEX('Summary of Results'!$G:$G, MATCH($B166, 'Summary of Results'!$A:$A, 0)) - 1)*100), NA()) = "", "", IFERROR(IF($C$77 = "Absolute", INDEX('Summary of Results'!I:I, MATCH($B166, 'Summary of Results'!$A:$A, 0)), (INDEX('Summary of Results'!I:I, MATCH($B166, 'Summary of Results'!$A:$A, 0))/INDEX('Summary of Results'!$G:$G, MATCH($B166, 'Summary of Results'!$A:$A, 0)) - 1)*100), NA()))</f>
        <v>#N/A</v>
      </c>
      <c r="G166" s="788" t="e">
        <f>IF(IFERROR(IF($C$77 = "Absolute", INDEX('Summary of Results'!J:J, MATCH($B166, 'Summary of Results'!$A:$A, 0)), (INDEX('Summary of Results'!J:J, MATCH($B166, 'Summary of Results'!$A:$A, 0))/INDEX('Summary of Results'!$G:$G, MATCH($B166, 'Summary of Results'!$A:$A, 0)) - 1)*100), NA()) = "", "", IFERROR(IF($C$77 = "Absolute", INDEX('Summary of Results'!J:J, MATCH($B166, 'Summary of Results'!$A:$A, 0)), (INDEX('Summary of Results'!J:J, MATCH($B166, 'Summary of Results'!$A:$A, 0))/INDEX('Summary of Results'!$G:$G, MATCH($B166, 'Summary of Results'!$A:$A, 0)) - 1)*100), NA()))</f>
        <v>#N/A</v>
      </c>
      <c r="H166" s="788" t="e">
        <f>IF(IFERROR(IF($C$77 = "Absolute", INDEX('Summary of Results'!K:K, MATCH($B166, 'Summary of Results'!$A:$A, 0)), (INDEX('Summary of Results'!K:K, MATCH($B166, 'Summary of Results'!$A:$A, 0))/INDEX('Summary of Results'!$G:$G, MATCH($B166, 'Summary of Results'!$A:$A, 0)) - 1)*100), NA()) = "", "", IFERROR(IF($C$77 = "Absolute", INDEX('Summary of Results'!K:K, MATCH($B166, 'Summary of Results'!$A:$A, 0)), (INDEX('Summary of Results'!K:K, MATCH($B166, 'Summary of Results'!$A:$A, 0))/INDEX('Summary of Results'!$G:$G, MATCH($B166, 'Summary of Results'!$A:$A, 0)) - 1)*100), NA()))</f>
        <v>#N/A</v>
      </c>
      <c r="I166" s="788" t="e">
        <f>IF(IFERROR(IF($C$77 = "Absolute", INDEX('Summary of Results'!L:L, MATCH($B166, 'Summary of Results'!$A:$A, 0)), (INDEX('Summary of Results'!L:L, MATCH($B166, 'Summary of Results'!$A:$A, 0))/INDEX('Summary of Results'!$G:$G, MATCH($B166, 'Summary of Results'!$A:$A, 0)) - 1)*100), NA()) = "", "", IFERROR(IF($C$77 = "Absolute", INDEX('Summary of Results'!L:L, MATCH($B166, 'Summary of Results'!$A:$A, 0)), (INDEX('Summary of Results'!L:L, MATCH($B166, 'Summary of Results'!$A:$A, 0))/INDEX('Summary of Results'!$G:$G, MATCH($B166, 'Summary of Results'!$A:$A, 0)) - 1)*100), NA()))</f>
        <v>#N/A</v>
      </c>
      <c r="J166" s="788" t="e">
        <f>IF(IFERROR(IF($C$77 = "Absolute", INDEX('Summary of Results'!M:M, MATCH($B166, 'Summary of Results'!$A:$A, 0)), (INDEX('Summary of Results'!M:M, MATCH($B166, 'Summary of Results'!$A:$A, 0))/INDEX('Summary of Results'!$G:$G, MATCH($B166, 'Summary of Results'!$A:$A, 0)) - 1)*100), NA()) = "", "", IFERROR(IF($C$77 = "Absolute", INDEX('Summary of Results'!M:M, MATCH($B166, 'Summary of Results'!$A:$A, 0)), (INDEX('Summary of Results'!M:M, MATCH($B166, 'Summary of Results'!$A:$A, 0))/INDEX('Summary of Results'!$G:$G, MATCH($B166, 'Summary of Results'!$A:$A, 0)) - 1)*100), NA()))</f>
        <v>#N/A</v>
      </c>
    </row>
    <row r="167" spans="1:25" customFormat="1" ht="20">
      <c r="B167" s="733">
        <v>41</v>
      </c>
      <c r="C167" s="734" t="e">
        <f>IFERROR(INDEX('Summary of Results'!$B:$B, MATCH(B167, 'Summary of Results'!$A:$A, 0)), NA())</f>
        <v>#N/A</v>
      </c>
      <c r="D167" s="788" t="e">
        <f>IF(IFERROR(IF($C$77 = "Absolute", INDEX('Summary of Results'!G:G, MATCH($B167, 'Summary of Results'!$A:$A, 0)), (INDEX('Summary of Results'!G:G, MATCH($B167, 'Summary of Results'!$A:$A, 0))/INDEX('Summary of Results'!$G:$G, MATCH($B167, 'Summary of Results'!$A:$A, 0)) - 1)*100), NA()) = "", "", IFERROR(IF($C$77 = "Absolute", INDEX('Summary of Results'!G:G, MATCH($B167, 'Summary of Results'!$A:$A, 0)), (INDEX('Summary of Results'!G:G, MATCH($B167, 'Summary of Results'!$A:$A, 0))/INDEX('Summary of Results'!$G:$G, MATCH($B167, 'Summary of Results'!$A:$A, 0)) - 1)*100), NA()))</f>
        <v>#N/A</v>
      </c>
      <c r="E167" s="788" t="e">
        <f>IF(IFERROR(IF($C$77 = "Absolute", INDEX('Summary of Results'!H:H, MATCH($B167, 'Summary of Results'!$A:$A, 0)), (INDEX('Summary of Results'!H:H, MATCH($B167, 'Summary of Results'!$A:$A, 0))/INDEX('Summary of Results'!$G:$G, MATCH($B167, 'Summary of Results'!$A:$A, 0)) - 1)*100), NA()) = "", "", IFERROR(IF($C$77 = "Absolute", INDEX('Summary of Results'!H:H, MATCH($B167, 'Summary of Results'!$A:$A, 0)), (INDEX('Summary of Results'!H:H, MATCH($B167, 'Summary of Results'!$A:$A, 0))/INDEX('Summary of Results'!$G:$G, MATCH($B167, 'Summary of Results'!$A:$A, 0)) - 1)*100), NA()))</f>
        <v>#N/A</v>
      </c>
      <c r="F167" s="788" t="e">
        <f>IF(IFERROR(IF($C$77 = "Absolute", INDEX('Summary of Results'!I:I, MATCH($B167, 'Summary of Results'!$A:$A, 0)), (INDEX('Summary of Results'!I:I, MATCH($B167, 'Summary of Results'!$A:$A, 0))/INDEX('Summary of Results'!$G:$G, MATCH($B167, 'Summary of Results'!$A:$A, 0)) - 1)*100), NA()) = "", "", IFERROR(IF($C$77 = "Absolute", INDEX('Summary of Results'!I:I, MATCH($B167, 'Summary of Results'!$A:$A, 0)), (INDEX('Summary of Results'!I:I, MATCH($B167, 'Summary of Results'!$A:$A, 0))/INDEX('Summary of Results'!$G:$G, MATCH($B167, 'Summary of Results'!$A:$A, 0)) - 1)*100), NA()))</f>
        <v>#N/A</v>
      </c>
      <c r="G167" s="788" t="e">
        <f>IF(IFERROR(IF($C$77 = "Absolute", INDEX('Summary of Results'!J:J, MATCH($B167, 'Summary of Results'!$A:$A, 0)), (INDEX('Summary of Results'!J:J, MATCH($B167, 'Summary of Results'!$A:$A, 0))/INDEX('Summary of Results'!$G:$G, MATCH($B167, 'Summary of Results'!$A:$A, 0)) - 1)*100), NA()) = "", "", IFERROR(IF($C$77 = "Absolute", INDEX('Summary of Results'!J:J, MATCH($B167, 'Summary of Results'!$A:$A, 0)), (INDEX('Summary of Results'!J:J, MATCH($B167, 'Summary of Results'!$A:$A, 0))/INDEX('Summary of Results'!$G:$G, MATCH($B167, 'Summary of Results'!$A:$A, 0)) - 1)*100), NA()))</f>
        <v>#N/A</v>
      </c>
      <c r="H167" s="788" t="e">
        <f>IF(IFERROR(IF($C$77 = "Absolute", INDEX('Summary of Results'!K:K, MATCH($B167, 'Summary of Results'!$A:$A, 0)), (INDEX('Summary of Results'!K:K, MATCH($B167, 'Summary of Results'!$A:$A, 0))/INDEX('Summary of Results'!$G:$G, MATCH($B167, 'Summary of Results'!$A:$A, 0)) - 1)*100), NA()) = "", "", IFERROR(IF($C$77 = "Absolute", INDEX('Summary of Results'!K:K, MATCH($B167, 'Summary of Results'!$A:$A, 0)), (INDEX('Summary of Results'!K:K, MATCH($B167, 'Summary of Results'!$A:$A, 0))/INDEX('Summary of Results'!$G:$G, MATCH($B167, 'Summary of Results'!$A:$A, 0)) - 1)*100), NA()))</f>
        <v>#N/A</v>
      </c>
      <c r="I167" s="788" t="e">
        <f>IF(IFERROR(IF($C$77 = "Absolute", INDEX('Summary of Results'!L:L, MATCH($B167, 'Summary of Results'!$A:$A, 0)), (INDEX('Summary of Results'!L:L, MATCH($B167, 'Summary of Results'!$A:$A, 0))/INDEX('Summary of Results'!$G:$G, MATCH($B167, 'Summary of Results'!$A:$A, 0)) - 1)*100), NA()) = "", "", IFERROR(IF($C$77 = "Absolute", INDEX('Summary of Results'!L:L, MATCH($B167, 'Summary of Results'!$A:$A, 0)), (INDEX('Summary of Results'!L:L, MATCH($B167, 'Summary of Results'!$A:$A, 0))/INDEX('Summary of Results'!$G:$G, MATCH($B167, 'Summary of Results'!$A:$A, 0)) - 1)*100), NA()))</f>
        <v>#N/A</v>
      </c>
      <c r="J167" s="788" t="e">
        <f>IF(IFERROR(IF($C$77 = "Absolute", INDEX('Summary of Results'!M:M, MATCH($B167, 'Summary of Results'!$A:$A, 0)), (INDEX('Summary of Results'!M:M, MATCH($B167, 'Summary of Results'!$A:$A, 0))/INDEX('Summary of Results'!$G:$G, MATCH($B167, 'Summary of Results'!$A:$A, 0)) - 1)*100), NA()) = "", "", IFERROR(IF($C$77 = "Absolute", INDEX('Summary of Results'!M:M, MATCH($B167, 'Summary of Results'!$A:$A, 0)), (INDEX('Summary of Results'!M:M, MATCH($B167, 'Summary of Results'!$A:$A, 0))/INDEX('Summary of Results'!$G:$G, MATCH($B167, 'Summary of Results'!$A:$A, 0)) - 1)*100), NA()))</f>
        <v>#N/A</v>
      </c>
    </row>
    <row r="168" spans="1:25" customFormat="1" ht="20">
      <c r="B168" s="733">
        <v>42</v>
      </c>
      <c r="C168" s="734" t="e">
        <f>IFERROR(INDEX('Summary of Results'!$B:$B, MATCH(B168, 'Summary of Results'!$A:$A, 0)), NA())</f>
        <v>#N/A</v>
      </c>
      <c r="D168" s="788" t="e">
        <f>IF(IFERROR(IF($C$77 = "Absolute", INDEX('Summary of Results'!G:G, MATCH($B168, 'Summary of Results'!$A:$A, 0)), (INDEX('Summary of Results'!G:G, MATCH($B168, 'Summary of Results'!$A:$A, 0))/INDEX('Summary of Results'!$G:$G, MATCH($B168, 'Summary of Results'!$A:$A, 0)) - 1)*100), NA()) = "", "", IFERROR(IF($C$77 = "Absolute", INDEX('Summary of Results'!G:G, MATCH($B168, 'Summary of Results'!$A:$A, 0)), (INDEX('Summary of Results'!G:G, MATCH($B168, 'Summary of Results'!$A:$A, 0))/INDEX('Summary of Results'!$G:$G, MATCH($B168, 'Summary of Results'!$A:$A, 0)) - 1)*100), NA()))</f>
        <v>#N/A</v>
      </c>
      <c r="E168" s="788" t="e">
        <f>IF(IFERROR(IF($C$77 = "Absolute", INDEX('Summary of Results'!H:H, MATCH($B168, 'Summary of Results'!$A:$A, 0)), (INDEX('Summary of Results'!H:H, MATCH($B168, 'Summary of Results'!$A:$A, 0))/INDEX('Summary of Results'!$G:$G, MATCH($B168, 'Summary of Results'!$A:$A, 0)) - 1)*100), NA()) = "", "", IFERROR(IF($C$77 = "Absolute", INDEX('Summary of Results'!H:H, MATCH($B168, 'Summary of Results'!$A:$A, 0)), (INDEX('Summary of Results'!H:H, MATCH($B168, 'Summary of Results'!$A:$A, 0))/INDEX('Summary of Results'!$G:$G, MATCH($B168, 'Summary of Results'!$A:$A, 0)) - 1)*100), NA()))</f>
        <v>#N/A</v>
      </c>
      <c r="F168" s="788" t="e">
        <f>IF(IFERROR(IF($C$77 = "Absolute", INDEX('Summary of Results'!I:I, MATCH($B168, 'Summary of Results'!$A:$A, 0)), (INDEX('Summary of Results'!I:I, MATCH($B168, 'Summary of Results'!$A:$A, 0))/INDEX('Summary of Results'!$G:$G, MATCH($B168, 'Summary of Results'!$A:$A, 0)) - 1)*100), NA()) = "", "", IFERROR(IF($C$77 = "Absolute", INDEX('Summary of Results'!I:I, MATCH($B168, 'Summary of Results'!$A:$A, 0)), (INDEX('Summary of Results'!I:I, MATCH($B168, 'Summary of Results'!$A:$A, 0))/INDEX('Summary of Results'!$G:$G, MATCH($B168, 'Summary of Results'!$A:$A, 0)) - 1)*100), NA()))</f>
        <v>#N/A</v>
      </c>
      <c r="G168" s="788" t="e">
        <f>IF(IFERROR(IF($C$77 = "Absolute", INDEX('Summary of Results'!J:J, MATCH($B168, 'Summary of Results'!$A:$A, 0)), (INDEX('Summary of Results'!J:J, MATCH($B168, 'Summary of Results'!$A:$A, 0))/INDEX('Summary of Results'!$G:$G, MATCH($B168, 'Summary of Results'!$A:$A, 0)) - 1)*100), NA()) = "", "", IFERROR(IF($C$77 = "Absolute", INDEX('Summary of Results'!J:J, MATCH($B168, 'Summary of Results'!$A:$A, 0)), (INDEX('Summary of Results'!J:J, MATCH($B168, 'Summary of Results'!$A:$A, 0))/INDEX('Summary of Results'!$G:$G, MATCH($B168, 'Summary of Results'!$A:$A, 0)) - 1)*100), NA()))</f>
        <v>#N/A</v>
      </c>
      <c r="H168" s="788" t="e">
        <f>IF(IFERROR(IF($C$77 = "Absolute", INDEX('Summary of Results'!K:K, MATCH($B168, 'Summary of Results'!$A:$A, 0)), (INDEX('Summary of Results'!K:K, MATCH($B168, 'Summary of Results'!$A:$A, 0))/INDEX('Summary of Results'!$G:$G, MATCH($B168, 'Summary of Results'!$A:$A, 0)) - 1)*100), NA()) = "", "", IFERROR(IF($C$77 = "Absolute", INDEX('Summary of Results'!K:K, MATCH($B168, 'Summary of Results'!$A:$A, 0)), (INDEX('Summary of Results'!K:K, MATCH($B168, 'Summary of Results'!$A:$A, 0))/INDEX('Summary of Results'!$G:$G, MATCH($B168, 'Summary of Results'!$A:$A, 0)) - 1)*100), NA()))</f>
        <v>#N/A</v>
      </c>
      <c r="I168" s="788" t="e">
        <f>IF(IFERROR(IF($C$77 = "Absolute", INDEX('Summary of Results'!L:L, MATCH($B168, 'Summary of Results'!$A:$A, 0)), (INDEX('Summary of Results'!L:L, MATCH($B168, 'Summary of Results'!$A:$A, 0))/INDEX('Summary of Results'!$G:$G, MATCH($B168, 'Summary of Results'!$A:$A, 0)) - 1)*100), NA()) = "", "", IFERROR(IF($C$77 = "Absolute", INDEX('Summary of Results'!L:L, MATCH($B168, 'Summary of Results'!$A:$A, 0)), (INDEX('Summary of Results'!L:L, MATCH($B168, 'Summary of Results'!$A:$A, 0))/INDEX('Summary of Results'!$G:$G, MATCH($B168, 'Summary of Results'!$A:$A, 0)) - 1)*100), NA()))</f>
        <v>#N/A</v>
      </c>
      <c r="J168" s="788" t="e">
        <f>IF(IFERROR(IF($C$77 = "Absolute", INDEX('Summary of Results'!M:M, MATCH($B168, 'Summary of Results'!$A:$A, 0)), (INDEX('Summary of Results'!M:M, MATCH($B168, 'Summary of Results'!$A:$A, 0))/INDEX('Summary of Results'!$G:$G, MATCH($B168, 'Summary of Results'!$A:$A, 0)) - 1)*100), NA()) = "", "", IFERROR(IF($C$77 = "Absolute", INDEX('Summary of Results'!M:M, MATCH($B168, 'Summary of Results'!$A:$A, 0)), (INDEX('Summary of Results'!M:M, MATCH($B168, 'Summary of Results'!$A:$A, 0))/INDEX('Summary of Results'!$G:$G, MATCH($B168, 'Summary of Results'!$A:$A, 0)) - 1)*100), NA()))</f>
        <v>#N/A</v>
      </c>
    </row>
    <row r="169" spans="1:25" customFormat="1" ht="20">
      <c r="B169" s="733">
        <v>43</v>
      </c>
      <c r="C169" s="734" t="e">
        <f>IFERROR(INDEX('Summary of Results'!$B:$B, MATCH(B169, 'Summary of Results'!$A:$A, 0)), NA())</f>
        <v>#N/A</v>
      </c>
      <c r="D169" s="788" t="e">
        <f>IF(IFERROR(IF($C$77 = "Absolute", INDEX('Summary of Results'!G:G, MATCH($B169, 'Summary of Results'!$A:$A, 0)), (INDEX('Summary of Results'!G:G, MATCH($B169, 'Summary of Results'!$A:$A, 0))/INDEX('Summary of Results'!$G:$G, MATCH($B169, 'Summary of Results'!$A:$A, 0)) - 1)*100), NA()) = "", "", IFERROR(IF($C$77 = "Absolute", INDEX('Summary of Results'!G:G, MATCH($B169, 'Summary of Results'!$A:$A, 0)), (INDEX('Summary of Results'!G:G, MATCH($B169, 'Summary of Results'!$A:$A, 0))/INDEX('Summary of Results'!$G:$G, MATCH($B169, 'Summary of Results'!$A:$A, 0)) - 1)*100), NA()))</f>
        <v>#N/A</v>
      </c>
      <c r="E169" s="788" t="e">
        <f>IF(IFERROR(IF($C$77 = "Absolute", INDEX('Summary of Results'!H:H, MATCH($B169, 'Summary of Results'!$A:$A, 0)), (INDEX('Summary of Results'!H:H, MATCH($B169, 'Summary of Results'!$A:$A, 0))/INDEX('Summary of Results'!$G:$G, MATCH($B169, 'Summary of Results'!$A:$A, 0)) - 1)*100), NA()) = "", "", IFERROR(IF($C$77 = "Absolute", INDEX('Summary of Results'!H:H, MATCH($B169, 'Summary of Results'!$A:$A, 0)), (INDEX('Summary of Results'!H:H, MATCH($B169, 'Summary of Results'!$A:$A, 0))/INDEX('Summary of Results'!$G:$G, MATCH($B169, 'Summary of Results'!$A:$A, 0)) - 1)*100), NA()))</f>
        <v>#N/A</v>
      </c>
      <c r="F169" s="788" t="e">
        <f>IF(IFERROR(IF($C$77 = "Absolute", INDEX('Summary of Results'!I:I, MATCH($B169, 'Summary of Results'!$A:$A, 0)), (INDEX('Summary of Results'!I:I, MATCH($B169, 'Summary of Results'!$A:$A, 0))/INDEX('Summary of Results'!$G:$G, MATCH($B169, 'Summary of Results'!$A:$A, 0)) - 1)*100), NA()) = "", "", IFERROR(IF($C$77 = "Absolute", INDEX('Summary of Results'!I:I, MATCH($B169, 'Summary of Results'!$A:$A, 0)), (INDEX('Summary of Results'!I:I, MATCH($B169, 'Summary of Results'!$A:$A, 0))/INDEX('Summary of Results'!$G:$G, MATCH($B169, 'Summary of Results'!$A:$A, 0)) - 1)*100), NA()))</f>
        <v>#N/A</v>
      </c>
      <c r="G169" s="788" t="e">
        <f>IF(IFERROR(IF($C$77 = "Absolute", INDEX('Summary of Results'!J:J, MATCH($B169, 'Summary of Results'!$A:$A, 0)), (INDEX('Summary of Results'!J:J, MATCH($B169, 'Summary of Results'!$A:$A, 0))/INDEX('Summary of Results'!$G:$G, MATCH($B169, 'Summary of Results'!$A:$A, 0)) - 1)*100), NA()) = "", "", IFERROR(IF($C$77 = "Absolute", INDEX('Summary of Results'!J:J, MATCH($B169, 'Summary of Results'!$A:$A, 0)), (INDEX('Summary of Results'!J:J, MATCH($B169, 'Summary of Results'!$A:$A, 0))/INDEX('Summary of Results'!$G:$G, MATCH($B169, 'Summary of Results'!$A:$A, 0)) - 1)*100), NA()))</f>
        <v>#N/A</v>
      </c>
      <c r="H169" s="788" t="e">
        <f>IF(IFERROR(IF($C$77 = "Absolute", INDEX('Summary of Results'!K:K, MATCH($B169, 'Summary of Results'!$A:$A, 0)), (INDEX('Summary of Results'!K:K, MATCH($B169, 'Summary of Results'!$A:$A, 0))/INDEX('Summary of Results'!$G:$G, MATCH($B169, 'Summary of Results'!$A:$A, 0)) - 1)*100), NA()) = "", "", IFERROR(IF($C$77 = "Absolute", INDEX('Summary of Results'!K:K, MATCH($B169, 'Summary of Results'!$A:$A, 0)), (INDEX('Summary of Results'!K:K, MATCH($B169, 'Summary of Results'!$A:$A, 0))/INDEX('Summary of Results'!$G:$G, MATCH($B169, 'Summary of Results'!$A:$A, 0)) - 1)*100), NA()))</f>
        <v>#N/A</v>
      </c>
      <c r="I169" s="788" t="e">
        <f>IF(IFERROR(IF($C$77 = "Absolute", INDEX('Summary of Results'!L:L, MATCH($B169, 'Summary of Results'!$A:$A, 0)), (INDEX('Summary of Results'!L:L, MATCH($B169, 'Summary of Results'!$A:$A, 0))/INDEX('Summary of Results'!$G:$G, MATCH($B169, 'Summary of Results'!$A:$A, 0)) - 1)*100), NA()) = "", "", IFERROR(IF($C$77 = "Absolute", INDEX('Summary of Results'!L:L, MATCH($B169, 'Summary of Results'!$A:$A, 0)), (INDEX('Summary of Results'!L:L, MATCH($B169, 'Summary of Results'!$A:$A, 0))/INDEX('Summary of Results'!$G:$G, MATCH($B169, 'Summary of Results'!$A:$A, 0)) - 1)*100), NA()))</f>
        <v>#N/A</v>
      </c>
      <c r="J169" s="788" t="e">
        <f>IF(IFERROR(IF($C$77 = "Absolute", INDEX('Summary of Results'!M:M, MATCH($B169, 'Summary of Results'!$A:$A, 0)), (INDEX('Summary of Results'!M:M, MATCH($B169, 'Summary of Results'!$A:$A, 0))/INDEX('Summary of Results'!$G:$G, MATCH($B169, 'Summary of Results'!$A:$A, 0)) - 1)*100), NA()) = "", "", IFERROR(IF($C$77 = "Absolute", INDEX('Summary of Results'!M:M, MATCH($B169, 'Summary of Results'!$A:$A, 0)), (INDEX('Summary of Results'!M:M, MATCH($B169, 'Summary of Results'!$A:$A, 0))/INDEX('Summary of Results'!$G:$G, MATCH($B169, 'Summary of Results'!$A:$A, 0)) - 1)*100), NA()))</f>
        <v>#N/A</v>
      </c>
    </row>
    <row r="170" spans="1:25" customFormat="1" ht="20">
      <c r="B170" s="733">
        <v>44</v>
      </c>
      <c r="C170" s="734" t="e">
        <f>IFERROR(INDEX('Summary of Results'!$B:$B, MATCH(B170, 'Summary of Results'!$A:$A, 0)), NA())</f>
        <v>#N/A</v>
      </c>
      <c r="D170" s="788" t="e">
        <f>IF(IFERROR(IF($C$77 = "Absolute", INDEX('Summary of Results'!G:G, MATCH($B170, 'Summary of Results'!$A:$A, 0)), (INDEX('Summary of Results'!G:G, MATCH($B170, 'Summary of Results'!$A:$A, 0))/INDEX('Summary of Results'!$G:$G, MATCH($B170, 'Summary of Results'!$A:$A, 0)) - 1)*100), NA()) = "", "", IFERROR(IF($C$77 = "Absolute", INDEX('Summary of Results'!G:G, MATCH($B170, 'Summary of Results'!$A:$A, 0)), (INDEX('Summary of Results'!G:G, MATCH($B170, 'Summary of Results'!$A:$A, 0))/INDEX('Summary of Results'!$G:$G, MATCH($B170, 'Summary of Results'!$A:$A, 0)) - 1)*100), NA()))</f>
        <v>#N/A</v>
      </c>
      <c r="E170" s="788" t="e">
        <f>IF(IFERROR(IF($C$77 = "Absolute", INDEX('Summary of Results'!H:H, MATCH($B170, 'Summary of Results'!$A:$A, 0)), (INDEX('Summary of Results'!H:H, MATCH($B170, 'Summary of Results'!$A:$A, 0))/INDEX('Summary of Results'!$G:$G, MATCH($B170, 'Summary of Results'!$A:$A, 0)) - 1)*100), NA()) = "", "", IFERROR(IF($C$77 = "Absolute", INDEX('Summary of Results'!H:H, MATCH($B170, 'Summary of Results'!$A:$A, 0)), (INDEX('Summary of Results'!H:H, MATCH($B170, 'Summary of Results'!$A:$A, 0))/INDEX('Summary of Results'!$G:$G, MATCH($B170, 'Summary of Results'!$A:$A, 0)) - 1)*100), NA()))</f>
        <v>#N/A</v>
      </c>
      <c r="F170" s="788" t="e">
        <f>IF(IFERROR(IF($C$77 = "Absolute", INDEX('Summary of Results'!I:I, MATCH($B170, 'Summary of Results'!$A:$A, 0)), (INDEX('Summary of Results'!I:I, MATCH($B170, 'Summary of Results'!$A:$A, 0))/INDEX('Summary of Results'!$G:$G, MATCH($B170, 'Summary of Results'!$A:$A, 0)) - 1)*100), NA()) = "", "", IFERROR(IF($C$77 = "Absolute", INDEX('Summary of Results'!I:I, MATCH($B170, 'Summary of Results'!$A:$A, 0)), (INDEX('Summary of Results'!I:I, MATCH($B170, 'Summary of Results'!$A:$A, 0))/INDEX('Summary of Results'!$G:$G, MATCH($B170, 'Summary of Results'!$A:$A, 0)) - 1)*100), NA()))</f>
        <v>#N/A</v>
      </c>
      <c r="G170" s="788" t="e">
        <f>IF(IFERROR(IF($C$77 = "Absolute", INDEX('Summary of Results'!J:J, MATCH($B170, 'Summary of Results'!$A:$A, 0)), (INDEX('Summary of Results'!J:J, MATCH($B170, 'Summary of Results'!$A:$A, 0))/INDEX('Summary of Results'!$G:$G, MATCH($B170, 'Summary of Results'!$A:$A, 0)) - 1)*100), NA()) = "", "", IFERROR(IF($C$77 = "Absolute", INDEX('Summary of Results'!J:J, MATCH($B170, 'Summary of Results'!$A:$A, 0)), (INDEX('Summary of Results'!J:J, MATCH($B170, 'Summary of Results'!$A:$A, 0))/INDEX('Summary of Results'!$G:$G, MATCH($B170, 'Summary of Results'!$A:$A, 0)) - 1)*100), NA()))</f>
        <v>#N/A</v>
      </c>
      <c r="H170" s="788" t="e">
        <f>IF(IFERROR(IF($C$77 = "Absolute", INDEX('Summary of Results'!K:K, MATCH($B170, 'Summary of Results'!$A:$A, 0)), (INDEX('Summary of Results'!K:K, MATCH($B170, 'Summary of Results'!$A:$A, 0))/INDEX('Summary of Results'!$G:$G, MATCH($B170, 'Summary of Results'!$A:$A, 0)) - 1)*100), NA()) = "", "", IFERROR(IF($C$77 = "Absolute", INDEX('Summary of Results'!K:K, MATCH($B170, 'Summary of Results'!$A:$A, 0)), (INDEX('Summary of Results'!K:K, MATCH($B170, 'Summary of Results'!$A:$A, 0))/INDEX('Summary of Results'!$G:$G, MATCH($B170, 'Summary of Results'!$A:$A, 0)) - 1)*100), NA()))</f>
        <v>#N/A</v>
      </c>
      <c r="I170" s="788" t="e">
        <f>IF(IFERROR(IF($C$77 = "Absolute", INDEX('Summary of Results'!L:L, MATCH($B170, 'Summary of Results'!$A:$A, 0)), (INDEX('Summary of Results'!L:L, MATCH($B170, 'Summary of Results'!$A:$A, 0))/INDEX('Summary of Results'!$G:$G, MATCH($B170, 'Summary of Results'!$A:$A, 0)) - 1)*100), NA()) = "", "", IFERROR(IF($C$77 = "Absolute", INDEX('Summary of Results'!L:L, MATCH($B170, 'Summary of Results'!$A:$A, 0)), (INDEX('Summary of Results'!L:L, MATCH($B170, 'Summary of Results'!$A:$A, 0))/INDEX('Summary of Results'!$G:$G, MATCH($B170, 'Summary of Results'!$A:$A, 0)) - 1)*100), NA()))</f>
        <v>#N/A</v>
      </c>
      <c r="J170" s="788" t="e">
        <f>IF(IFERROR(IF($C$77 = "Absolute", INDEX('Summary of Results'!M:M, MATCH($B170, 'Summary of Results'!$A:$A, 0)), (INDEX('Summary of Results'!M:M, MATCH($B170, 'Summary of Results'!$A:$A, 0))/INDEX('Summary of Results'!$G:$G, MATCH($B170, 'Summary of Results'!$A:$A, 0)) - 1)*100), NA()) = "", "", IFERROR(IF($C$77 = "Absolute", INDEX('Summary of Results'!M:M, MATCH($B170, 'Summary of Results'!$A:$A, 0)), (INDEX('Summary of Results'!M:M, MATCH($B170, 'Summary of Results'!$A:$A, 0))/INDEX('Summary of Results'!$G:$G, MATCH($B170, 'Summary of Results'!$A:$A, 0)) - 1)*100), NA()))</f>
        <v>#N/A</v>
      </c>
    </row>
    <row r="171" spans="1:25" customFormat="1" ht="20">
      <c r="B171" s="733">
        <v>45</v>
      </c>
      <c r="C171" s="734" t="e">
        <f>IFERROR(INDEX('Summary of Results'!$B:$B, MATCH(B171, 'Summary of Results'!$A:$A, 0)), NA())</f>
        <v>#N/A</v>
      </c>
      <c r="D171" s="788" t="e">
        <f>IF(IFERROR(IF($C$77 = "Absolute", INDEX('Summary of Results'!G:G, MATCH($B171, 'Summary of Results'!$A:$A, 0)), (INDEX('Summary of Results'!G:G, MATCH($B171, 'Summary of Results'!$A:$A, 0))/INDEX('Summary of Results'!$G:$G, MATCH($B171, 'Summary of Results'!$A:$A, 0)) - 1)*100), NA()) = "", "", IFERROR(IF($C$77 = "Absolute", INDEX('Summary of Results'!G:G, MATCH($B171, 'Summary of Results'!$A:$A, 0)), (INDEX('Summary of Results'!G:G, MATCH($B171, 'Summary of Results'!$A:$A, 0))/INDEX('Summary of Results'!$G:$G, MATCH($B171, 'Summary of Results'!$A:$A, 0)) - 1)*100), NA()))</f>
        <v>#N/A</v>
      </c>
      <c r="E171" s="788" t="e">
        <f>IF(IFERROR(IF($C$77 = "Absolute", INDEX('Summary of Results'!H:H, MATCH($B171, 'Summary of Results'!$A:$A, 0)), (INDEX('Summary of Results'!H:H, MATCH($B171, 'Summary of Results'!$A:$A, 0))/INDEX('Summary of Results'!$G:$G, MATCH($B171, 'Summary of Results'!$A:$A, 0)) - 1)*100), NA()) = "", "", IFERROR(IF($C$77 = "Absolute", INDEX('Summary of Results'!H:H, MATCH($B171, 'Summary of Results'!$A:$A, 0)), (INDEX('Summary of Results'!H:H, MATCH($B171, 'Summary of Results'!$A:$A, 0))/INDEX('Summary of Results'!$G:$G, MATCH($B171, 'Summary of Results'!$A:$A, 0)) - 1)*100), NA()))</f>
        <v>#N/A</v>
      </c>
      <c r="F171" s="788" t="e">
        <f>IF(IFERROR(IF($C$77 = "Absolute", INDEX('Summary of Results'!I:I, MATCH($B171, 'Summary of Results'!$A:$A, 0)), (INDEX('Summary of Results'!I:I, MATCH($B171, 'Summary of Results'!$A:$A, 0))/INDEX('Summary of Results'!$G:$G, MATCH($B171, 'Summary of Results'!$A:$A, 0)) - 1)*100), NA()) = "", "", IFERROR(IF($C$77 = "Absolute", INDEX('Summary of Results'!I:I, MATCH($B171, 'Summary of Results'!$A:$A, 0)), (INDEX('Summary of Results'!I:I, MATCH($B171, 'Summary of Results'!$A:$A, 0))/INDEX('Summary of Results'!$G:$G, MATCH($B171, 'Summary of Results'!$A:$A, 0)) - 1)*100), NA()))</f>
        <v>#N/A</v>
      </c>
      <c r="G171" s="788" t="e">
        <f>IF(IFERROR(IF($C$77 = "Absolute", INDEX('Summary of Results'!J:J, MATCH($B171, 'Summary of Results'!$A:$A, 0)), (INDEX('Summary of Results'!J:J, MATCH($B171, 'Summary of Results'!$A:$A, 0))/INDEX('Summary of Results'!$G:$G, MATCH($B171, 'Summary of Results'!$A:$A, 0)) - 1)*100), NA()) = "", "", IFERROR(IF($C$77 = "Absolute", INDEX('Summary of Results'!J:J, MATCH($B171, 'Summary of Results'!$A:$A, 0)), (INDEX('Summary of Results'!J:J, MATCH($B171, 'Summary of Results'!$A:$A, 0))/INDEX('Summary of Results'!$G:$G, MATCH($B171, 'Summary of Results'!$A:$A, 0)) - 1)*100), NA()))</f>
        <v>#N/A</v>
      </c>
      <c r="H171" s="788" t="e">
        <f>IF(IFERROR(IF($C$77 = "Absolute", INDEX('Summary of Results'!K:K, MATCH($B171, 'Summary of Results'!$A:$A, 0)), (INDEX('Summary of Results'!K:K, MATCH($B171, 'Summary of Results'!$A:$A, 0))/INDEX('Summary of Results'!$G:$G, MATCH($B171, 'Summary of Results'!$A:$A, 0)) - 1)*100), NA()) = "", "", IFERROR(IF($C$77 = "Absolute", INDEX('Summary of Results'!K:K, MATCH($B171, 'Summary of Results'!$A:$A, 0)), (INDEX('Summary of Results'!K:K, MATCH($B171, 'Summary of Results'!$A:$A, 0))/INDEX('Summary of Results'!$G:$G, MATCH($B171, 'Summary of Results'!$A:$A, 0)) - 1)*100), NA()))</f>
        <v>#N/A</v>
      </c>
      <c r="I171" s="788" t="e">
        <f>IF(IFERROR(IF($C$77 = "Absolute", INDEX('Summary of Results'!L:L, MATCH($B171, 'Summary of Results'!$A:$A, 0)), (INDEX('Summary of Results'!L:L, MATCH($B171, 'Summary of Results'!$A:$A, 0))/INDEX('Summary of Results'!$G:$G, MATCH($B171, 'Summary of Results'!$A:$A, 0)) - 1)*100), NA()) = "", "", IFERROR(IF($C$77 = "Absolute", INDEX('Summary of Results'!L:L, MATCH($B171, 'Summary of Results'!$A:$A, 0)), (INDEX('Summary of Results'!L:L, MATCH($B171, 'Summary of Results'!$A:$A, 0))/INDEX('Summary of Results'!$G:$G, MATCH($B171, 'Summary of Results'!$A:$A, 0)) - 1)*100), NA()))</f>
        <v>#N/A</v>
      </c>
      <c r="J171" s="788" t="e">
        <f>IF(IFERROR(IF($C$77 = "Absolute", INDEX('Summary of Results'!M:M, MATCH($B171, 'Summary of Results'!$A:$A, 0)), (INDEX('Summary of Results'!M:M, MATCH($B171, 'Summary of Results'!$A:$A, 0))/INDEX('Summary of Results'!$G:$G, MATCH($B171, 'Summary of Results'!$A:$A, 0)) - 1)*100), NA()) = "", "", IFERROR(IF($C$77 = "Absolute", INDEX('Summary of Results'!M:M, MATCH($B171, 'Summary of Results'!$A:$A, 0)), (INDEX('Summary of Results'!M:M, MATCH($B171, 'Summary of Results'!$A:$A, 0))/INDEX('Summary of Results'!$G:$G, MATCH($B171, 'Summary of Results'!$A:$A, 0)) - 1)*100), NA()))</f>
        <v>#N/A</v>
      </c>
    </row>
    <row r="172" spans="1:25" customFormat="1" ht="20">
      <c r="B172" s="733">
        <v>46</v>
      </c>
      <c r="C172" s="734" t="e">
        <f>IFERROR(INDEX('Summary of Results'!$B:$B, MATCH(B172, 'Summary of Results'!$A:$A, 0)), NA())</f>
        <v>#N/A</v>
      </c>
      <c r="D172" s="788" t="e">
        <f>IF(IFERROR(IF($C$77 = "Absolute", INDEX('Summary of Results'!G:G, MATCH($B172, 'Summary of Results'!$A:$A, 0)), (INDEX('Summary of Results'!G:G, MATCH($B172, 'Summary of Results'!$A:$A, 0))/INDEX('Summary of Results'!$G:$G, MATCH($B172, 'Summary of Results'!$A:$A, 0)) - 1)*100), NA()) = "", "", IFERROR(IF($C$77 = "Absolute", INDEX('Summary of Results'!G:G, MATCH($B172, 'Summary of Results'!$A:$A, 0)), (INDEX('Summary of Results'!G:G, MATCH($B172, 'Summary of Results'!$A:$A, 0))/INDEX('Summary of Results'!$G:$G, MATCH($B172, 'Summary of Results'!$A:$A, 0)) - 1)*100), NA()))</f>
        <v>#N/A</v>
      </c>
      <c r="E172" s="788" t="e">
        <f>IF(IFERROR(IF($C$77 = "Absolute", INDEX('Summary of Results'!H:H, MATCH($B172, 'Summary of Results'!$A:$A, 0)), (INDEX('Summary of Results'!H:H, MATCH($B172, 'Summary of Results'!$A:$A, 0))/INDEX('Summary of Results'!$G:$G, MATCH($B172, 'Summary of Results'!$A:$A, 0)) - 1)*100), NA()) = "", "", IFERROR(IF($C$77 = "Absolute", INDEX('Summary of Results'!H:H, MATCH($B172, 'Summary of Results'!$A:$A, 0)), (INDEX('Summary of Results'!H:H, MATCH($B172, 'Summary of Results'!$A:$A, 0))/INDEX('Summary of Results'!$G:$G, MATCH($B172, 'Summary of Results'!$A:$A, 0)) - 1)*100), NA()))</f>
        <v>#N/A</v>
      </c>
      <c r="F172" s="788" t="e">
        <f>IF(IFERROR(IF($C$77 = "Absolute", INDEX('Summary of Results'!I:I, MATCH($B172, 'Summary of Results'!$A:$A, 0)), (INDEX('Summary of Results'!I:I, MATCH($B172, 'Summary of Results'!$A:$A, 0))/INDEX('Summary of Results'!$G:$G, MATCH($B172, 'Summary of Results'!$A:$A, 0)) - 1)*100), NA()) = "", "", IFERROR(IF($C$77 = "Absolute", INDEX('Summary of Results'!I:I, MATCH($B172, 'Summary of Results'!$A:$A, 0)), (INDEX('Summary of Results'!I:I, MATCH($B172, 'Summary of Results'!$A:$A, 0))/INDEX('Summary of Results'!$G:$G, MATCH($B172, 'Summary of Results'!$A:$A, 0)) - 1)*100), NA()))</f>
        <v>#N/A</v>
      </c>
      <c r="G172" s="788" t="e">
        <f>IF(IFERROR(IF($C$77 = "Absolute", INDEX('Summary of Results'!J:J, MATCH($B172, 'Summary of Results'!$A:$A, 0)), (INDEX('Summary of Results'!J:J, MATCH($B172, 'Summary of Results'!$A:$A, 0))/INDEX('Summary of Results'!$G:$G, MATCH($B172, 'Summary of Results'!$A:$A, 0)) - 1)*100), NA()) = "", "", IFERROR(IF($C$77 = "Absolute", INDEX('Summary of Results'!J:J, MATCH($B172, 'Summary of Results'!$A:$A, 0)), (INDEX('Summary of Results'!J:J, MATCH($B172, 'Summary of Results'!$A:$A, 0))/INDEX('Summary of Results'!$G:$G, MATCH($B172, 'Summary of Results'!$A:$A, 0)) - 1)*100), NA()))</f>
        <v>#N/A</v>
      </c>
      <c r="H172" s="788" t="e">
        <f>IF(IFERROR(IF($C$77 = "Absolute", INDEX('Summary of Results'!K:K, MATCH($B172, 'Summary of Results'!$A:$A, 0)), (INDEX('Summary of Results'!K:K, MATCH($B172, 'Summary of Results'!$A:$A, 0))/INDEX('Summary of Results'!$G:$G, MATCH($B172, 'Summary of Results'!$A:$A, 0)) - 1)*100), NA()) = "", "", IFERROR(IF($C$77 = "Absolute", INDEX('Summary of Results'!K:K, MATCH($B172, 'Summary of Results'!$A:$A, 0)), (INDEX('Summary of Results'!K:K, MATCH($B172, 'Summary of Results'!$A:$A, 0))/INDEX('Summary of Results'!$G:$G, MATCH($B172, 'Summary of Results'!$A:$A, 0)) - 1)*100), NA()))</f>
        <v>#N/A</v>
      </c>
      <c r="I172" s="788" t="e">
        <f>IF(IFERROR(IF($C$77 = "Absolute", INDEX('Summary of Results'!L:L, MATCH($B172, 'Summary of Results'!$A:$A, 0)), (INDEX('Summary of Results'!L:L, MATCH($B172, 'Summary of Results'!$A:$A, 0))/INDEX('Summary of Results'!$G:$G, MATCH($B172, 'Summary of Results'!$A:$A, 0)) - 1)*100), NA()) = "", "", IFERROR(IF($C$77 = "Absolute", INDEX('Summary of Results'!L:L, MATCH($B172, 'Summary of Results'!$A:$A, 0)), (INDEX('Summary of Results'!L:L, MATCH($B172, 'Summary of Results'!$A:$A, 0))/INDEX('Summary of Results'!$G:$G, MATCH($B172, 'Summary of Results'!$A:$A, 0)) - 1)*100), NA()))</f>
        <v>#N/A</v>
      </c>
      <c r="J172" s="788" t="e">
        <f>IF(IFERROR(IF($C$77 = "Absolute", INDEX('Summary of Results'!M:M, MATCH($B172, 'Summary of Results'!$A:$A, 0)), (INDEX('Summary of Results'!M:M, MATCH($B172, 'Summary of Results'!$A:$A, 0))/INDEX('Summary of Results'!$G:$G, MATCH($B172, 'Summary of Results'!$A:$A, 0)) - 1)*100), NA()) = "", "", IFERROR(IF($C$77 = "Absolute", INDEX('Summary of Results'!M:M, MATCH($B172, 'Summary of Results'!$A:$A, 0)), (INDEX('Summary of Results'!M:M, MATCH($B172, 'Summary of Results'!$A:$A, 0))/INDEX('Summary of Results'!$G:$G, MATCH($B172, 'Summary of Results'!$A:$A, 0)) - 1)*100), NA()))</f>
        <v>#N/A</v>
      </c>
    </row>
    <row r="173" spans="1:25" customFormat="1" ht="20">
      <c r="B173" s="733">
        <v>47</v>
      </c>
      <c r="C173" s="734" t="e">
        <f>IFERROR(INDEX('Summary of Results'!$B:$B, MATCH(B173, 'Summary of Results'!$A:$A, 0)), NA())</f>
        <v>#N/A</v>
      </c>
      <c r="D173" s="788" t="e">
        <f>IF(IFERROR(IF($C$77 = "Absolute", INDEX('Summary of Results'!G:G, MATCH($B173, 'Summary of Results'!$A:$A, 0)), (INDEX('Summary of Results'!G:G, MATCH($B173, 'Summary of Results'!$A:$A, 0))/INDEX('Summary of Results'!$G:$G, MATCH($B173, 'Summary of Results'!$A:$A, 0)) - 1)*100), NA()) = "", "", IFERROR(IF($C$77 = "Absolute", INDEX('Summary of Results'!G:G, MATCH($B173, 'Summary of Results'!$A:$A, 0)), (INDEX('Summary of Results'!G:G, MATCH($B173, 'Summary of Results'!$A:$A, 0))/INDEX('Summary of Results'!$G:$G, MATCH($B173, 'Summary of Results'!$A:$A, 0)) - 1)*100), NA()))</f>
        <v>#N/A</v>
      </c>
      <c r="E173" s="788" t="e">
        <f>IF(IFERROR(IF($C$77 = "Absolute", INDEX('Summary of Results'!H:H, MATCH($B173, 'Summary of Results'!$A:$A, 0)), (INDEX('Summary of Results'!H:H, MATCH($B173, 'Summary of Results'!$A:$A, 0))/INDEX('Summary of Results'!$G:$G, MATCH($B173, 'Summary of Results'!$A:$A, 0)) - 1)*100), NA()) = "", "", IFERROR(IF($C$77 = "Absolute", INDEX('Summary of Results'!H:H, MATCH($B173, 'Summary of Results'!$A:$A, 0)), (INDEX('Summary of Results'!H:H, MATCH($B173, 'Summary of Results'!$A:$A, 0))/INDEX('Summary of Results'!$G:$G, MATCH($B173, 'Summary of Results'!$A:$A, 0)) - 1)*100), NA()))</f>
        <v>#N/A</v>
      </c>
      <c r="F173" s="788" t="e">
        <f>IF(IFERROR(IF($C$77 = "Absolute", INDEX('Summary of Results'!I:I, MATCH($B173, 'Summary of Results'!$A:$A, 0)), (INDEX('Summary of Results'!I:I, MATCH($B173, 'Summary of Results'!$A:$A, 0))/INDEX('Summary of Results'!$G:$G, MATCH($B173, 'Summary of Results'!$A:$A, 0)) - 1)*100), NA()) = "", "", IFERROR(IF($C$77 = "Absolute", INDEX('Summary of Results'!I:I, MATCH($B173, 'Summary of Results'!$A:$A, 0)), (INDEX('Summary of Results'!I:I, MATCH($B173, 'Summary of Results'!$A:$A, 0))/INDEX('Summary of Results'!$G:$G, MATCH($B173, 'Summary of Results'!$A:$A, 0)) - 1)*100), NA()))</f>
        <v>#N/A</v>
      </c>
      <c r="G173" s="788" t="e">
        <f>IF(IFERROR(IF($C$77 = "Absolute", INDEX('Summary of Results'!J:J, MATCH($B173, 'Summary of Results'!$A:$A, 0)), (INDEX('Summary of Results'!J:J, MATCH($B173, 'Summary of Results'!$A:$A, 0))/INDEX('Summary of Results'!$G:$G, MATCH($B173, 'Summary of Results'!$A:$A, 0)) - 1)*100), NA()) = "", "", IFERROR(IF($C$77 = "Absolute", INDEX('Summary of Results'!J:J, MATCH($B173, 'Summary of Results'!$A:$A, 0)), (INDEX('Summary of Results'!J:J, MATCH($B173, 'Summary of Results'!$A:$A, 0))/INDEX('Summary of Results'!$G:$G, MATCH($B173, 'Summary of Results'!$A:$A, 0)) - 1)*100), NA()))</f>
        <v>#N/A</v>
      </c>
      <c r="H173" s="788" t="e">
        <f>IF(IFERROR(IF($C$77 = "Absolute", INDEX('Summary of Results'!K:K, MATCH($B173, 'Summary of Results'!$A:$A, 0)), (INDEX('Summary of Results'!K:K, MATCH($B173, 'Summary of Results'!$A:$A, 0))/INDEX('Summary of Results'!$G:$G, MATCH($B173, 'Summary of Results'!$A:$A, 0)) - 1)*100), NA()) = "", "", IFERROR(IF($C$77 = "Absolute", INDEX('Summary of Results'!K:K, MATCH($B173, 'Summary of Results'!$A:$A, 0)), (INDEX('Summary of Results'!K:K, MATCH($B173, 'Summary of Results'!$A:$A, 0))/INDEX('Summary of Results'!$G:$G, MATCH($B173, 'Summary of Results'!$A:$A, 0)) - 1)*100), NA()))</f>
        <v>#N/A</v>
      </c>
      <c r="I173" s="788" t="e">
        <f>IF(IFERROR(IF($C$77 = "Absolute", INDEX('Summary of Results'!L:L, MATCH($B173, 'Summary of Results'!$A:$A, 0)), (INDEX('Summary of Results'!L:L, MATCH($B173, 'Summary of Results'!$A:$A, 0))/INDEX('Summary of Results'!$G:$G, MATCH($B173, 'Summary of Results'!$A:$A, 0)) - 1)*100), NA()) = "", "", IFERROR(IF($C$77 = "Absolute", INDEX('Summary of Results'!L:L, MATCH($B173, 'Summary of Results'!$A:$A, 0)), (INDEX('Summary of Results'!L:L, MATCH($B173, 'Summary of Results'!$A:$A, 0))/INDEX('Summary of Results'!$G:$G, MATCH($B173, 'Summary of Results'!$A:$A, 0)) - 1)*100), NA()))</f>
        <v>#N/A</v>
      </c>
      <c r="J173" s="788" t="e">
        <f>IF(IFERROR(IF($C$77 = "Absolute", INDEX('Summary of Results'!M:M, MATCH($B173, 'Summary of Results'!$A:$A, 0)), (INDEX('Summary of Results'!M:M, MATCH($B173, 'Summary of Results'!$A:$A, 0))/INDEX('Summary of Results'!$G:$G, MATCH($B173, 'Summary of Results'!$A:$A, 0)) - 1)*100), NA()) = "", "", IFERROR(IF($C$77 = "Absolute", INDEX('Summary of Results'!M:M, MATCH($B173, 'Summary of Results'!$A:$A, 0)), (INDEX('Summary of Results'!M:M, MATCH($B173, 'Summary of Results'!$A:$A, 0))/INDEX('Summary of Results'!$G:$G, MATCH($B173, 'Summary of Results'!$A:$A, 0)) - 1)*100), NA()))</f>
        <v>#N/A</v>
      </c>
    </row>
    <row r="174" spans="1:25" customFormat="1" ht="20">
      <c r="B174" s="733">
        <v>48</v>
      </c>
      <c r="C174" s="734" t="e">
        <f>IFERROR(INDEX('Summary of Results'!$B:$B, MATCH(B174, 'Summary of Results'!$A:$A, 0)), NA())</f>
        <v>#N/A</v>
      </c>
      <c r="D174" s="788" t="e">
        <f>IF(IFERROR(IF($C$77 = "Absolute", INDEX('Summary of Results'!G:G, MATCH($B174, 'Summary of Results'!$A:$A, 0)), (INDEX('Summary of Results'!G:G, MATCH($B174, 'Summary of Results'!$A:$A, 0))/INDEX('Summary of Results'!$G:$G, MATCH($B174, 'Summary of Results'!$A:$A, 0)) - 1)*100), NA()) = "", "", IFERROR(IF($C$77 = "Absolute", INDEX('Summary of Results'!G:G, MATCH($B174, 'Summary of Results'!$A:$A, 0)), (INDEX('Summary of Results'!G:G, MATCH($B174, 'Summary of Results'!$A:$A, 0))/INDEX('Summary of Results'!$G:$G, MATCH($B174, 'Summary of Results'!$A:$A, 0)) - 1)*100), NA()))</f>
        <v>#N/A</v>
      </c>
      <c r="E174" s="788" t="e">
        <f>IF(IFERROR(IF($C$77 = "Absolute", INDEX('Summary of Results'!H:H, MATCH($B174, 'Summary of Results'!$A:$A, 0)), (INDEX('Summary of Results'!H:H, MATCH($B174, 'Summary of Results'!$A:$A, 0))/INDEX('Summary of Results'!$G:$G, MATCH($B174, 'Summary of Results'!$A:$A, 0)) - 1)*100), NA()) = "", "", IFERROR(IF($C$77 = "Absolute", INDEX('Summary of Results'!H:H, MATCH($B174, 'Summary of Results'!$A:$A, 0)), (INDEX('Summary of Results'!H:H, MATCH($B174, 'Summary of Results'!$A:$A, 0))/INDEX('Summary of Results'!$G:$G, MATCH($B174, 'Summary of Results'!$A:$A, 0)) - 1)*100), NA()))</f>
        <v>#N/A</v>
      </c>
      <c r="F174" s="788" t="e">
        <f>IF(IFERROR(IF($C$77 = "Absolute", INDEX('Summary of Results'!I:I, MATCH($B174, 'Summary of Results'!$A:$A, 0)), (INDEX('Summary of Results'!I:I, MATCH($B174, 'Summary of Results'!$A:$A, 0))/INDEX('Summary of Results'!$G:$G, MATCH($B174, 'Summary of Results'!$A:$A, 0)) - 1)*100), NA()) = "", "", IFERROR(IF($C$77 = "Absolute", INDEX('Summary of Results'!I:I, MATCH($B174, 'Summary of Results'!$A:$A, 0)), (INDEX('Summary of Results'!I:I, MATCH($B174, 'Summary of Results'!$A:$A, 0))/INDEX('Summary of Results'!$G:$G, MATCH($B174, 'Summary of Results'!$A:$A, 0)) - 1)*100), NA()))</f>
        <v>#N/A</v>
      </c>
      <c r="G174" s="788" t="e">
        <f>IF(IFERROR(IF($C$77 = "Absolute", INDEX('Summary of Results'!J:J, MATCH($B174, 'Summary of Results'!$A:$A, 0)), (INDEX('Summary of Results'!J:J, MATCH($B174, 'Summary of Results'!$A:$A, 0))/INDEX('Summary of Results'!$G:$G, MATCH($B174, 'Summary of Results'!$A:$A, 0)) - 1)*100), NA()) = "", "", IFERROR(IF($C$77 = "Absolute", INDEX('Summary of Results'!J:J, MATCH($B174, 'Summary of Results'!$A:$A, 0)), (INDEX('Summary of Results'!J:J, MATCH($B174, 'Summary of Results'!$A:$A, 0))/INDEX('Summary of Results'!$G:$G, MATCH($B174, 'Summary of Results'!$A:$A, 0)) - 1)*100), NA()))</f>
        <v>#N/A</v>
      </c>
      <c r="H174" s="788" t="e">
        <f>IF(IFERROR(IF($C$77 = "Absolute", INDEX('Summary of Results'!K:K, MATCH($B174, 'Summary of Results'!$A:$A, 0)), (INDEX('Summary of Results'!K:K, MATCH($B174, 'Summary of Results'!$A:$A, 0))/INDEX('Summary of Results'!$G:$G, MATCH($B174, 'Summary of Results'!$A:$A, 0)) - 1)*100), NA()) = "", "", IFERROR(IF($C$77 = "Absolute", INDEX('Summary of Results'!K:K, MATCH($B174, 'Summary of Results'!$A:$A, 0)), (INDEX('Summary of Results'!K:K, MATCH($B174, 'Summary of Results'!$A:$A, 0))/INDEX('Summary of Results'!$G:$G, MATCH($B174, 'Summary of Results'!$A:$A, 0)) - 1)*100), NA()))</f>
        <v>#N/A</v>
      </c>
      <c r="I174" s="788" t="e">
        <f>IF(IFERROR(IF($C$77 = "Absolute", INDEX('Summary of Results'!L:L, MATCH($B174, 'Summary of Results'!$A:$A, 0)), (INDEX('Summary of Results'!L:L, MATCH($B174, 'Summary of Results'!$A:$A, 0))/INDEX('Summary of Results'!$G:$G, MATCH($B174, 'Summary of Results'!$A:$A, 0)) - 1)*100), NA()) = "", "", IFERROR(IF($C$77 = "Absolute", INDEX('Summary of Results'!L:L, MATCH($B174, 'Summary of Results'!$A:$A, 0)), (INDEX('Summary of Results'!L:L, MATCH($B174, 'Summary of Results'!$A:$A, 0))/INDEX('Summary of Results'!$G:$G, MATCH($B174, 'Summary of Results'!$A:$A, 0)) - 1)*100), NA()))</f>
        <v>#N/A</v>
      </c>
      <c r="J174" s="788" t="e">
        <f>IF(IFERROR(IF($C$77 = "Absolute", INDEX('Summary of Results'!M:M, MATCH($B174, 'Summary of Results'!$A:$A, 0)), (INDEX('Summary of Results'!M:M, MATCH($B174, 'Summary of Results'!$A:$A, 0))/INDEX('Summary of Results'!$G:$G, MATCH($B174, 'Summary of Results'!$A:$A, 0)) - 1)*100), NA()) = "", "", IFERROR(IF($C$77 = "Absolute", INDEX('Summary of Results'!M:M, MATCH($B174, 'Summary of Results'!$A:$A, 0)), (INDEX('Summary of Results'!M:M, MATCH($B174, 'Summary of Results'!$A:$A, 0))/INDEX('Summary of Results'!$G:$G, MATCH($B174, 'Summary of Results'!$A:$A, 0)) - 1)*100), NA()))</f>
        <v>#N/A</v>
      </c>
    </row>
    <row r="175" spans="1:25" customFormat="1" ht="20">
      <c r="B175" s="733">
        <v>49</v>
      </c>
      <c r="C175" s="734" t="e">
        <f>IFERROR(INDEX('Summary of Results'!$B:$B, MATCH(B175, 'Summary of Results'!$A:$A, 0)), NA())</f>
        <v>#N/A</v>
      </c>
      <c r="D175" s="788" t="e">
        <f>IF(IFERROR(IF($C$77 = "Absolute", INDEX('Summary of Results'!G:G, MATCH($B175, 'Summary of Results'!$A:$A, 0)), (INDEX('Summary of Results'!G:G, MATCH($B175, 'Summary of Results'!$A:$A, 0))/INDEX('Summary of Results'!$G:$G, MATCH($B175, 'Summary of Results'!$A:$A, 0)) - 1)*100), NA()) = "", "", IFERROR(IF($C$77 = "Absolute", INDEX('Summary of Results'!G:G, MATCH($B175, 'Summary of Results'!$A:$A, 0)), (INDEX('Summary of Results'!G:G, MATCH($B175, 'Summary of Results'!$A:$A, 0))/INDEX('Summary of Results'!$G:$G, MATCH($B175, 'Summary of Results'!$A:$A, 0)) - 1)*100), NA()))</f>
        <v>#N/A</v>
      </c>
      <c r="E175" s="788" t="e">
        <f>IF(IFERROR(IF($C$77 = "Absolute", INDEX('Summary of Results'!H:H, MATCH($B175, 'Summary of Results'!$A:$A, 0)), (INDEX('Summary of Results'!H:H, MATCH($B175, 'Summary of Results'!$A:$A, 0))/INDEX('Summary of Results'!$G:$G, MATCH($B175, 'Summary of Results'!$A:$A, 0)) - 1)*100), NA()) = "", "", IFERROR(IF($C$77 = "Absolute", INDEX('Summary of Results'!H:H, MATCH($B175, 'Summary of Results'!$A:$A, 0)), (INDEX('Summary of Results'!H:H, MATCH($B175, 'Summary of Results'!$A:$A, 0))/INDEX('Summary of Results'!$G:$G, MATCH($B175, 'Summary of Results'!$A:$A, 0)) - 1)*100), NA()))</f>
        <v>#N/A</v>
      </c>
      <c r="F175" s="788" t="e">
        <f>IF(IFERROR(IF($C$77 = "Absolute", INDEX('Summary of Results'!I:I, MATCH($B175, 'Summary of Results'!$A:$A, 0)), (INDEX('Summary of Results'!I:I, MATCH($B175, 'Summary of Results'!$A:$A, 0))/INDEX('Summary of Results'!$G:$G, MATCH($B175, 'Summary of Results'!$A:$A, 0)) - 1)*100), NA()) = "", "", IFERROR(IF($C$77 = "Absolute", INDEX('Summary of Results'!I:I, MATCH($B175, 'Summary of Results'!$A:$A, 0)), (INDEX('Summary of Results'!I:I, MATCH($B175, 'Summary of Results'!$A:$A, 0))/INDEX('Summary of Results'!$G:$G, MATCH($B175, 'Summary of Results'!$A:$A, 0)) - 1)*100), NA()))</f>
        <v>#N/A</v>
      </c>
      <c r="G175" s="788" t="e">
        <f>IF(IFERROR(IF($C$77 = "Absolute", INDEX('Summary of Results'!J:J, MATCH($B175, 'Summary of Results'!$A:$A, 0)), (INDEX('Summary of Results'!J:J, MATCH($B175, 'Summary of Results'!$A:$A, 0))/INDEX('Summary of Results'!$G:$G, MATCH($B175, 'Summary of Results'!$A:$A, 0)) - 1)*100), NA()) = "", "", IFERROR(IF($C$77 = "Absolute", INDEX('Summary of Results'!J:J, MATCH($B175, 'Summary of Results'!$A:$A, 0)), (INDEX('Summary of Results'!J:J, MATCH($B175, 'Summary of Results'!$A:$A, 0))/INDEX('Summary of Results'!$G:$G, MATCH($B175, 'Summary of Results'!$A:$A, 0)) - 1)*100), NA()))</f>
        <v>#N/A</v>
      </c>
      <c r="H175" s="788" t="e">
        <f>IF(IFERROR(IF($C$77 = "Absolute", INDEX('Summary of Results'!K:K, MATCH($B175, 'Summary of Results'!$A:$A, 0)), (INDEX('Summary of Results'!K:K, MATCH($B175, 'Summary of Results'!$A:$A, 0))/INDEX('Summary of Results'!$G:$G, MATCH($B175, 'Summary of Results'!$A:$A, 0)) - 1)*100), NA()) = "", "", IFERROR(IF($C$77 = "Absolute", INDEX('Summary of Results'!K:K, MATCH($B175, 'Summary of Results'!$A:$A, 0)), (INDEX('Summary of Results'!K:K, MATCH($B175, 'Summary of Results'!$A:$A, 0))/INDEX('Summary of Results'!$G:$G, MATCH($B175, 'Summary of Results'!$A:$A, 0)) - 1)*100), NA()))</f>
        <v>#N/A</v>
      </c>
      <c r="I175" s="788" t="e">
        <f>IF(IFERROR(IF($C$77 = "Absolute", INDEX('Summary of Results'!L:L, MATCH($B175, 'Summary of Results'!$A:$A, 0)), (INDEX('Summary of Results'!L:L, MATCH($B175, 'Summary of Results'!$A:$A, 0))/INDEX('Summary of Results'!$G:$G, MATCH($B175, 'Summary of Results'!$A:$A, 0)) - 1)*100), NA()) = "", "", IFERROR(IF($C$77 = "Absolute", INDEX('Summary of Results'!L:L, MATCH($B175, 'Summary of Results'!$A:$A, 0)), (INDEX('Summary of Results'!L:L, MATCH($B175, 'Summary of Results'!$A:$A, 0))/INDEX('Summary of Results'!$G:$G, MATCH($B175, 'Summary of Results'!$A:$A, 0)) - 1)*100), NA()))</f>
        <v>#N/A</v>
      </c>
      <c r="J175" s="788" t="e">
        <f>IF(IFERROR(IF($C$77 = "Absolute", INDEX('Summary of Results'!M:M, MATCH($B175, 'Summary of Results'!$A:$A, 0)), (INDEX('Summary of Results'!M:M, MATCH($B175, 'Summary of Results'!$A:$A, 0))/INDEX('Summary of Results'!$G:$G, MATCH($B175, 'Summary of Results'!$A:$A, 0)) - 1)*100), NA()) = "", "", IFERROR(IF($C$77 = "Absolute", INDEX('Summary of Results'!M:M, MATCH($B175, 'Summary of Results'!$A:$A, 0)), (INDEX('Summary of Results'!M:M, MATCH($B175, 'Summary of Results'!$A:$A, 0))/INDEX('Summary of Results'!$G:$G, MATCH($B175, 'Summary of Results'!$A:$A, 0)) - 1)*100), NA()))</f>
        <v>#N/A</v>
      </c>
    </row>
    <row r="176" spans="1:25" customFormat="1" ht="20">
      <c r="B176" s="733">
        <v>50</v>
      </c>
      <c r="C176" s="734" t="e">
        <f>IFERROR(INDEX('Summary of Results'!$B:$B, MATCH(B176, 'Summary of Results'!$A:$A, 0)), NA())</f>
        <v>#N/A</v>
      </c>
      <c r="D176" s="788" t="e">
        <f>IF(IFERROR(IF($C$77 = "Absolute", INDEX('Summary of Results'!G:G, MATCH($B176, 'Summary of Results'!$A:$A, 0)), (INDEX('Summary of Results'!G:G, MATCH($B176, 'Summary of Results'!$A:$A, 0))/INDEX('Summary of Results'!$G:$G, MATCH($B176, 'Summary of Results'!$A:$A, 0)) - 1)*100), NA()) = "", "", IFERROR(IF($C$77 = "Absolute", INDEX('Summary of Results'!G:G, MATCH($B176, 'Summary of Results'!$A:$A, 0)), (INDEX('Summary of Results'!G:G, MATCH($B176, 'Summary of Results'!$A:$A, 0))/INDEX('Summary of Results'!$G:$G, MATCH($B176, 'Summary of Results'!$A:$A, 0)) - 1)*100), NA()))</f>
        <v>#N/A</v>
      </c>
      <c r="E176" s="788" t="e">
        <f>IF(IFERROR(IF($C$77 = "Absolute", INDEX('Summary of Results'!H:H, MATCH($B176, 'Summary of Results'!$A:$A, 0)), (INDEX('Summary of Results'!H:H, MATCH($B176, 'Summary of Results'!$A:$A, 0))/INDEX('Summary of Results'!$G:$G, MATCH($B176, 'Summary of Results'!$A:$A, 0)) - 1)*100), NA()) = "", "", IFERROR(IF($C$77 = "Absolute", INDEX('Summary of Results'!H:H, MATCH($B176, 'Summary of Results'!$A:$A, 0)), (INDEX('Summary of Results'!H:H, MATCH($B176, 'Summary of Results'!$A:$A, 0))/INDEX('Summary of Results'!$G:$G, MATCH($B176, 'Summary of Results'!$A:$A, 0)) - 1)*100), NA()))</f>
        <v>#N/A</v>
      </c>
      <c r="F176" s="788" t="e">
        <f>IF(IFERROR(IF($C$77 = "Absolute", INDEX('Summary of Results'!I:I, MATCH($B176, 'Summary of Results'!$A:$A, 0)), (INDEX('Summary of Results'!I:I, MATCH($B176, 'Summary of Results'!$A:$A, 0))/INDEX('Summary of Results'!$G:$G, MATCH($B176, 'Summary of Results'!$A:$A, 0)) - 1)*100), NA()) = "", "", IFERROR(IF($C$77 = "Absolute", INDEX('Summary of Results'!I:I, MATCH($B176, 'Summary of Results'!$A:$A, 0)), (INDEX('Summary of Results'!I:I, MATCH($B176, 'Summary of Results'!$A:$A, 0))/INDEX('Summary of Results'!$G:$G, MATCH($B176, 'Summary of Results'!$A:$A, 0)) - 1)*100), NA()))</f>
        <v>#N/A</v>
      </c>
      <c r="G176" s="788" t="e">
        <f>IF(IFERROR(IF($C$77 = "Absolute", INDEX('Summary of Results'!J:J, MATCH($B176, 'Summary of Results'!$A:$A, 0)), (INDEX('Summary of Results'!J:J, MATCH($B176, 'Summary of Results'!$A:$A, 0))/INDEX('Summary of Results'!$G:$G, MATCH($B176, 'Summary of Results'!$A:$A, 0)) - 1)*100), NA()) = "", "", IFERROR(IF($C$77 = "Absolute", INDEX('Summary of Results'!J:J, MATCH($B176, 'Summary of Results'!$A:$A, 0)), (INDEX('Summary of Results'!J:J, MATCH($B176, 'Summary of Results'!$A:$A, 0))/INDEX('Summary of Results'!$G:$G, MATCH($B176, 'Summary of Results'!$A:$A, 0)) - 1)*100), NA()))</f>
        <v>#N/A</v>
      </c>
      <c r="H176" s="788" t="e">
        <f>IF(IFERROR(IF($C$77 = "Absolute", INDEX('Summary of Results'!K:K, MATCH($B176, 'Summary of Results'!$A:$A, 0)), (INDEX('Summary of Results'!K:K, MATCH($B176, 'Summary of Results'!$A:$A, 0))/INDEX('Summary of Results'!$G:$G, MATCH($B176, 'Summary of Results'!$A:$A, 0)) - 1)*100), NA()) = "", "", IFERROR(IF($C$77 = "Absolute", INDEX('Summary of Results'!K:K, MATCH($B176, 'Summary of Results'!$A:$A, 0)), (INDEX('Summary of Results'!K:K, MATCH($B176, 'Summary of Results'!$A:$A, 0))/INDEX('Summary of Results'!$G:$G, MATCH($B176, 'Summary of Results'!$A:$A, 0)) - 1)*100), NA()))</f>
        <v>#N/A</v>
      </c>
      <c r="I176" s="788" t="e">
        <f>IF(IFERROR(IF($C$77 = "Absolute", INDEX('Summary of Results'!L:L, MATCH($B176, 'Summary of Results'!$A:$A, 0)), (INDEX('Summary of Results'!L:L, MATCH($B176, 'Summary of Results'!$A:$A, 0))/INDEX('Summary of Results'!$G:$G, MATCH($B176, 'Summary of Results'!$A:$A, 0)) - 1)*100), NA()) = "", "", IFERROR(IF($C$77 = "Absolute", INDEX('Summary of Results'!L:L, MATCH($B176, 'Summary of Results'!$A:$A, 0)), (INDEX('Summary of Results'!L:L, MATCH($B176, 'Summary of Results'!$A:$A, 0))/INDEX('Summary of Results'!$G:$G, MATCH($B176, 'Summary of Results'!$A:$A, 0)) - 1)*100), NA()))</f>
        <v>#N/A</v>
      </c>
      <c r="J176" s="788" t="e">
        <f>IF(IFERROR(IF($C$77 = "Absolute", INDEX('Summary of Results'!M:M, MATCH($B176, 'Summary of Results'!$A:$A, 0)), (INDEX('Summary of Results'!M:M, MATCH($B176, 'Summary of Results'!$A:$A, 0))/INDEX('Summary of Results'!$G:$G, MATCH($B176, 'Summary of Results'!$A:$A, 0)) - 1)*100), NA()) = "", "", IFERROR(IF($C$77 = "Absolute", INDEX('Summary of Results'!M:M, MATCH($B176, 'Summary of Results'!$A:$A, 0)), (INDEX('Summary of Results'!M:M, MATCH($B176, 'Summary of Results'!$A:$A, 0))/INDEX('Summary of Results'!$G:$G, MATCH($B176, 'Summary of Results'!$A:$A, 0)) - 1)*100), NA()))</f>
        <v>#N/A</v>
      </c>
    </row>
    <row r="177" spans="2:10" customFormat="1" ht="20">
      <c r="B177" s="733"/>
      <c r="C177" s="734"/>
      <c r="D177" s="788"/>
      <c r="E177" s="788"/>
      <c r="F177" s="788"/>
      <c r="G177" s="788"/>
      <c r="H177" s="788"/>
      <c r="I177" s="788"/>
      <c r="J177" s="788"/>
    </row>
    <row r="178" spans="2:10" customFormat="1" ht="20">
      <c r="B178" s="733"/>
      <c r="C178" s="734"/>
      <c r="D178" s="788"/>
      <c r="E178" s="788"/>
      <c r="F178" s="788"/>
      <c r="G178" s="788"/>
      <c r="H178" s="788"/>
      <c r="I178" s="788"/>
      <c r="J178" s="788"/>
    </row>
    <row r="179" spans="2:10" customFormat="1" ht="20">
      <c r="B179" s="733"/>
      <c r="C179" s="734"/>
      <c r="D179" s="788"/>
      <c r="E179" s="788"/>
      <c r="F179" s="788"/>
      <c r="G179" s="788"/>
      <c r="H179" s="788"/>
      <c r="I179" s="788"/>
      <c r="J179" s="788"/>
    </row>
    <row r="180" spans="2:10" customFormat="1" ht="20">
      <c r="B180" s="733"/>
      <c r="C180" s="734"/>
      <c r="D180" s="788"/>
      <c r="E180" s="788"/>
      <c r="F180" s="788"/>
      <c r="G180" s="788"/>
      <c r="H180" s="788"/>
      <c r="I180" s="788"/>
      <c r="J180" s="788"/>
    </row>
    <row r="181" spans="2:10" customFormat="1" ht="20">
      <c r="B181" s="733"/>
      <c r="C181" s="734"/>
      <c r="D181" s="788"/>
      <c r="E181" s="788"/>
      <c r="F181" s="788"/>
      <c r="G181" s="788"/>
      <c r="H181" s="788"/>
      <c r="I181" s="788"/>
      <c r="J181" s="788"/>
    </row>
    <row r="182" spans="2:10" customFormat="1" ht="20">
      <c r="B182" s="733"/>
      <c r="C182" s="734"/>
      <c r="D182" s="788"/>
      <c r="E182" s="788"/>
      <c r="F182" s="788"/>
      <c r="G182" s="788"/>
      <c r="H182" s="788"/>
      <c r="I182" s="788"/>
      <c r="J182" s="788"/>
    </row>
    <row r="183" spans="2:10" customFormat="1" ht="20">
      <c r="B183" s="733"/>
      <c r="C183" s="734"/>
      <c r="D183" s="788"/>
      <c r="E183" s="788"/>
      <c r="F183" s="788"/>
      <c r="G183" s="788"/>
      <c r="H183" s="788"/>
      <c r="I183" s="788"/>
      <c r="J183" s="788"/>
    </row>
    <row r="184" spans="2:10" customFormat="1" ht="20">
      <c r="B184" s="733"/>
      <c r="C184" s="734"/>
      <c r="D184" s="788"/>
      <c r="E184" s="788"/>
      <c r="F184" s="788"/>
      <c r="G184" s="788"/>
      <c r="H184" s="788"/>
      <c r="I184" s="788"/>
      <c r="J184" s="788"/>
    </row>
    <row r="185" spans="2:10" customFormat="1" ht="20">
      <c r="B185" s="733"/>
      <c r="C185" s="734"/>
      <c r="D185" s="788"/>
      <c r="E185" s="788"/>
      <c r="F185" s="788"/>
      <c r="G185" s="788"/>
      <c r="H185" s="788"/>
      <c r="I185" s="788"/>
      <c r="J185" s="788"/>
    </row>
    <row r="186" spans="2:10" customFormat="1" ht="20">
      <c r="B186" s="733"/>
      <c r="C186" s="734"/>
      <c r="D186" s="788"/>
      <c r="E186" s="788"/>
      <c r="F186" s="788"/>
      <c r="G186" s="788"/>
      <c r="H186" s="788"/>
      <c r="I186" s="788"/>
      <c r="J186" s="788"/>
    </row>
    <row r="187" spans="2:10" customFormat="1" ht="20">
      <c r="B187" s="733"/>
      <c r="C187" s="734"/>
      <c r="D187" s="788"/>
      <c r="E187" s="788"/>
      <c r="F187" s="788"/>
      <c r="G187" s="788"/>
      <c r="H187" s="788"/>
      <c r="I187" s="788"/>
      <c r="J187" s="788"/>
    </row>
    <row r="188" spans="2:10" customFormat="1" ht="20">
      <c r="B188" s="733"/>
      <c r="C188" s="734"/>
      <c r="D188" s="788"/>
      <c r="E188" s="788"/>
      <c r="F188" s="788"/>
      <c r="G188" s="788"/>
      <c r="H188" s="788"/>
      <c r="I188" s="788"/>
      <c r="J188" s="788"/>
    </row>
    <row r="189" spans="2:10" customFormat="1" ht="20">
      <c r="B189" s="733"/>
      <c r="C189" s="734"/>
      <c r="D189" s="788"/>
      <c r="E189" s="788"/>
      <c r="F189" s="788"/>
      <c r="G189" s="788"/>
      <c r="H189" s="788"/>
      <c r="I189" s="788"/>
      <c r="J189" s="788"/>
    </row>
    <row r="190" spans="2:10" customFormat="1" ht="20">
      <c r="B190" s="733"/>
      <c r="C190" s="734"/>
      <c r="D190" s="788"/>
      <c r="E190" s="788"/>
      <c r="F190" s="788"/>
      <c r="G190" s="788"/>
      <c r="H190" s="788"/>
      <c r="I190" s="788"/>
      <c r="J190" s="788"/>
    </row>
    <row r="191" spans="2:10" customFormat="1" ht="20">
      <c r="B191" s="733"/>
      <c r="C191" s="734"/>
      <c r="D191" s="788"/>
      <c r="E191" s="788"/>
      <c r="F191" s="788"/>
      <c r="G191" s="788"/>
      <c r="H191" s="788"/>
      <c r="I191" s="788"/>
      <c r="J191" s="788"/>
    </row>
    <row r="192" spans="2:10" customFormat="1" ht="20">
      <c r="B192" s="733"/>
      <c r="C192" s="734"/>
      <c r="D192" s="788"/>
      <c r="E192" s="788"/>
      <c r="F192" s="788"/>
      <c r="G192" s="788"/>
      <c r="H192" s="788"/>
      <c r="I192" s="788"/>
      <c r="J192" s="788"/>
    </row>
    <row r="193" spans="2:10" customFormat="1" ht="20">
      <c r="B193" s="733"/>
      <c r="C193" s="734"/>
      <c r="D193" s="788"/>
      <c r="E193" s="788"/>
      <c r="F193" s="788"/>
      <c r="G193" s="788"/>
      <c r="H193" s="788"/>
      <c r="I193" s="788"/>
      <c r="J193" s="788"/>
    </row>
    <row r="194" spans="2:10" customFormat="1" ht="20">
      <c r="B194" s="733"/>
      <c r="C194" s="734"/>
      <c r="D194" s="788"/>
      <c r="E194" s="788"/>
      <c r="F194" s="788"/>
      <c r="G194" s="788"/>
      <c r="H194" s="788"/>
      <c r="I194" s="788"/>
      <c r="J194" s="788"/>
    </row>
    <row r="195" spans="2:10" customFormat="1" ht="20">
      <c r="B195" s="733"/>
      <c r="C195" s="734"/>
      <c r="D195" s="788"/>
      <c r="E195" s="788"/>
      <c r="F195" s="788"/>
      <c r="G195" s="788"/>
      <c r="H195" s="788"/>
      <c r="I195" s="788"/>
      <c r="J195" s="788"/>
    </row>
    <row r="196" spans="2:10" customFormat="1" ht="20">
      <c r="B196" s="733"/>
      <c r="C196" s="734"/>
      <c r="D196" s="788"/>
      <c r="E196" s="788"/>
      <c r="F196" s="788"/>
      <c r="G196" s="788"/>
      <c r="H196" s="788"/>
      <c r="I196" s="788"/>
      <c r="J196" s="788"/>
    </row>
    <row r="197" spans="2:10" customFormat="1" ht="20">
      <c r="B197" s="733"/>
      <c r="C197" s="734"/>
      <c r="D197" s="788"/>
      <c r="E197" s="788"/>
      <c r="F197" s="788"/>
      <c r="G197" s="788"/>
      <c r="H197" s="788"/>
      <c r="I197" s="788"/>
      <c r="J197" s="788"/>
    </row>
    <row r="198" spans="2:10" customFormat="1" ht="20">
      <c r="B198" s="733"/>
      <c r="C198" s="734"/>
      <c r="D198" s="788"/>
      <c r="E198" s="788"/>
      <c r="F198" s="788"/>
      <c r="G198" s="788"/>
      <c r="H198" s="788"/>
      <c r="I198" s="788"/>
      <c r="J198" s="788"/>
    </row>
    <row r="199" spans="2:10" customFormat="1" ht="20">
      <c r="B199" s="733"/>
      <c r="C199" s="734"/>
      <c r="D199" s="788"/>
      <c r="E199" s="788"/>
      <c r="F199" s="788"/>
      <c r="G199" s="788"/>
      <c r="H199" s="788"/>
      <c r="I199" s="788"/>
      <c r="J199" s="788"/>
    </row>
    <row r="200" spans="2:10" customFormat="1" ht="20">
      <c r="B200" s="733"/>
      <c r="C200" s="734"/>
      <c r="D200" s="788"/>
      <c r="E200" s="788"/>
      <c r="F200" s="788"/>
      <c r="G200" s="788"/>
      <c r="H200" s="788"/>
      <c r="I200" s="788"/>
      <c r="J200" s="788"/>
    </row>
    <row r="201" spans="2:10" customFormat="1" ht="20">
      <c r="B201" s="733"/>
      <c r="C201" s="734"/>
      <c r="D201" s="788"/>
      <c r="E201" s="788"/>
      <c r="F201" s="788"/>
      <c r="G201" s="788"/>
      <c r="H201" s="788"/>
      <c r="I201" s="788"/>
      <c r="J201" s="788"/>
    </row>
    <row r="202" spans="2:10" customFormat="1" ht="20">
      <c r="B202" s="733"/>
      <c r="C202" s="734"/>
      <c r="D202" s="788"/>
      <c r="E202" s="788"/>
      <c r="F202" s="788"/>
      <c r="G202" s="788"/>
      <c r="H202" s="788"/>
      <c r="I202" s="788"/>
      <c r="J202" s="788"/>
    </row>
    <row r="203" spans="2:10" customFormat="1" ht="20">
      <c r="B203" s="733"/>
      <c r="C203" s="734"/>
      <c r="D203" s="788"/>
      <c r="E203" s="788"/>
      <c r="F203" s="788"/>
      <c r="G203" s="788"/>
      <c r="H203" s="788"/>
      <c r="I203" s="788"/>
      <c r="J203" s="788"/>
    </row>
    <row r="204" spans="2:10" customFormat="1" ht="20">
      <c r="B204" s="733"/>
      <c r="C204" s="734"/>
      <c r="D204" s="788"/>
      <c r="E204" s="788"/>
      <c r="F204" s="788"/>
      <c r="G204" s="788"/>
      <c r="H204" s="788"/>
      <c r="I204" s="788"/>
      <c r="J204" s="788"/>
    </row>
    <row r="205" spans="2:10" customFormat="1" ht="20">
      <c r="B205" s="733"/>
      <c r="C205" s="734"/>
      <c r="D205" s="788"/>
      <c r="E205" s="788"/>
      <c r="F205" s="788"/>
      <c r="G205" s="788"/>
      <c r="H205" s="788"/>
      <c r="I205" s="788"/>
      <c r="J205" s="788"/>
    </row>
    <row r="206" spans="2:10" customFormat="1" ht="20">
      <c r="B206" s="733"/>
      <c r="C206" s="734"/>
      <c r="D206" s="788"/>
      <c r="E206" s="788"/>
      <c r="F206" s="788"/>
      <c r="G206" s="788"/>
      <c r="H206" s="788"/>
      <c r="I206" s="788"/>
      <c r="J206" s="788"/>
    </row>
    <row r="207" spans="2:10" customFormat="1" ht="17.25" customHeight="1">
      <c r="B207" s="733"/>
      <c r="C207" s="734"/>
      <c r="D207" s="788"/>
      <c r="E207" s="788"/>
      <c r="F207" s="788"/>
      <c r="G207" s="788"/>
      <c r="H207" s="788"/>
      <c r="I207" s="788"/>
      <c r="J207" s="788"/>
    </row>
    <row r="208" spans="2:10" customFormat="1" ht="20">
      <c r="B208" s="733"/>
      <c r="C208" s="734"/>
      <c r="D208" s="788"/>
      <c r="E208" s="788"/>
      <c r="F208" s="788"/>
      <c r="G208" s="788"/>
      <c r="H208" s="788"/>
      <c r="I208" s="788"/>
      <c r="J208" s="788"/>
    </row>
    <row r="209" spans="2:10" customFormat="1" ht="20">
      <c r="B209" s="733"/>
      <c r="C209" s="734"/>
      <c r="D209" s="788"/>
      <c r="E209" s="788"/>
      <c r="F209" s="788"/>
      <c r="G209" s="788"/>
      <c r="H209" s="788"/>
      <c r="I209" s="788"/>
      <c r="J209" s="788"/>
    </row>
    <row r="210" spans="2:10" customFormat="1" ht="20">
      <c r="B210" s="733"/>
      <c r="C210" s="734"/>
      <c r="D210" s="788"/>
      <c r="E210" s="788"/>
      <c r="F210" s="788"/>
      <c r="G210" s="788"/>
      <c r="H210" s="788"/>
      <c r="I210" s="788"/>
      <c r="J210" s="788"/>
    </row>
    <row r="211" spans="2:10" customFormat="1" ht="20">
      <c r="B211" s="733"/>
      <c r="C211" s="734"/>
      <c r="D211" s="788"/>
      <c r="E211" s="788"/>
      <c r="F211" s="788"/>
      <c r="G211" s="788"/>
      <c r="H211" s="788"/>
      <c r="I211" s="788"/>
      <c r="J211" s="788"/>
    </row>
    <row r="212" spans="2:10" customFormat="1" ht="20">
      <c r="B212" s="733"/>
      <c r="C212" s="734"/>
      <c r="D212" s="788"/>
      <c r="E212" s="788"/>
      <c r="F212" s="788"/>
      <c r="G212" s="788"/>
      <c r="H212" s="788"/>
      <c r="I212" s="788"/>
      <c r="J212" s="788"/>
    </row>
    <row r="213" spans="2:10" customFormat="1" ht="20">
      <c r="B213" s="733"/>
      <c r="C213" s="734"/>
      <c r="D213" s="788"/>
      <c r="E213" s="788"/>
      <c r="F213" s="788"/>
      <c r="G213" s="788"/>
      <c r="H213" s="788"/>
      <c r="I213" s="788"/>
      <c r="J213" s="788"/>
    </row>
    <row r="214" spans="2:10" customFormat="1" ht="20">
      <c r="B214" s="733"/>
      <c r="C214" s="734"/>
      <c r="D214" s="788"/>
      <c r="E214" s="788"/>
      <c r="F214" s="788"/>
      <c r="G214" s="788"/>
      <c r="H214" s="788"/>
      <c r="I214" s="788"/>
      <c r="J214" s="788"/>
    </row>
    <row r="215" spans="2:10" customFormat="1" ht="20">
      <c r="B215" s="733"/>
      <c r="C215" s="734"/>
      <c r="D215" s="788"/>
      <c r="E215" s="788"/>
      <c r="F215" s="788"/>
      <c r="G215" s="788"/>
      <c r="H215" s="788"/>
      <c r="I215" s="788"/>
      <c r="J215" s="788"/>
    </row>
    <row r="216" spans="2:10" customFormat="1" ht="20">
      <c r="B216" s="733"/>
      <c r="C216" s="734"/>
      <c r="D216" s="788"/>
      <c r="E216" s="788"/>
      <c r="F216" s="788"/>
      <c r="G216" s="788"/>
      <c r="H216" s="788"/>
      <c r="I216" s="788"/>
      <c r="J216" s="788"/>
    </row>
    <row r="217" spans="2:10" customFormat="1" ht="20">
      <c r="B217" s="733"/>
      <c r="C217" s="734"/>
      <c r="D217" s="788"/>
      <c r="E217" s="788"/>
      <c r="F217" s="788"/>
      <c r="G217" s="788"/>
      <c r="H217" s="788"/>
      <c r="I217" s="788"/>
      <c r="J217" s="788"/>
    </row>
    <row r="218" spans="2:10" customFormat="1" ht="20">
      <c r="B218" s="733"/>
      <c r="C218" s="734"/>
      <c r="D218" s="788"/>
      <c r="E218" s="788"/>
      <c r="F218" s="788"/>
      <c r="G218" s="788"/>
      <c r="H218" s="788"/>
      <c r="I218" s="788"/>
      <c r="J218" s="788"/>
    </row>
    <row r="219" spans="2:10" customFormat="1" ht="20">
      <c r="B219" s="733"/>
      <c r="C219" s="734"/>
      <c r="D219" s="788"/>
      <c r="E219" s="788"/>
      <c r="F219" s="788"/>
      <c r="G219" s="788"/>
      <c r="H219" s="788"/>
      <c r="I219" s="788"/>
      <c r="J219" s="788"/>
    </row>
    <row r="220" spans="2:10" customFormat="1" ht="20">
      <c r="B220" s="733"/>
      <c r="C220" s="734"/>
      <c r="D220" s="788"/>
      <c r="E220" s="788"/>
      <c r="F220" s="788"/>
      <c r="G220" s="788"/>
      <c r="H220" s="788"/>
      <c r="I220" s="788"/>
      <c r="J220" s="788"/>
    </row>
    <row r="221" spans="2:10" customFormat="1" ht="20">
      <c r="B221" s="733"/>
      <c r="C221" s="734"/>
      <c r="D221" s="788"/>
      <c r="E221" s="788"/>
      <c r="F221" s="788"/>
      <c r="G221" s="788"/>
      <c r="H221" s="788"/>
      <c r="I221" s="788"/>
      <c r="J221" s="788"/>
    </row>
    <row r="222" spans="2:10" customFormat="1" ht="20">
      <c r="B222" s="733"/>
      <c r="C222" s="734"/>
      <c r="D222" s="788"/>
      <c r="E222" s="788"/>
      <c r="F222" s="788"/>
      <c r="G222" s="788"/>
      <c r="H222" s="788"/>
      <c r="I222" s="788"/>
      <c r="J222" s="788"/>
    </row>
    <row r="223" spans="2:10" customFormat="1" ht="20">
      <c r="B223" s="733"/>
      <c r="C223" s="734"/>
      <c r="D223" s="788"/>
      <c r="E223" s="788"/>
      <c r="F223" s="788"/>
      <c r="G223" s="788"/>
      <c r="H223" s="788"/>
      <c r="I223" s="788"/>
      <c r="J223" s="788"/>
    </row>
    <row r="224" spans="2:10" customFormat="1" ht="20">
      <c r="B224" s="733"/>
      <c r="C224" s="734"/>
      <c r="D224" s="788"/>
      <c r="E224" s="788"/>
      <c r="F224" s="788"/>
      <c r="G224" s="788"/>
      <c r="H224" s="788"/>
      <c r="I224" s="788"/>
      <c r="J224" s="788"/>
    </row>
    <row r="225" spans="2:10" customFormat="1" ht="20">
      <c r="B225" s="733"/>
      <c r="C225" s="734"/>
      <c r="D225" s="788"/>
      <c r="E225" s="788"/>
      <c r="F225" s="788"/>
      <c r="G225" s="788"/>
      <c r="H225" s="788"/>
      <c r="I225" s="788"/>
      <c r="J225" s="788"/>
    </row>
    <row r="226" spans="2:10" customFormat="1" ht="20">
      <c r="B226" s="733"/>
      <c r="C226" s="734"/>
      <c r="D226" s="788"/>
      <c r="E226" s="788"/>
      <c r="F226" s="788"/>
      <c r="G226" s="788"/>
      <c r="H226" s="788"/>
      <c r="I226" s="788"/>
      <c r="J226" s="788"/>
    </row>
    <row r="227" spans="2:10" customFormat="1" ht="20">
      <c r="B227" s="733"/>
      <c r="C227" s="734"/>
      <c r="D227" s="788"/>
      <c r="E227" s="788"/>
      <c r="F227" s="788"/>
      <c r="G227" s="788"/>
      <c r="H227" s="788"/>
      <c r="I227" s="788"/>
      <c r="J227" s="788"/>
    </row>
    <row r="228" spans="2:10" customFormat="1" ht="20">
      <c r="B228" s="733"/>
      <c r="C228" s="734"/>
      <c r="D228" s="788"/>
      <c r="E228" s="788"/>
      <c r="F228" s="788"/>
      <c r="G228" s="788"/>
      <c r="H228" s="788"/>
      <c r="I228" s="788"/>
      <c r="J228" s="788"/>
    </row>
    <row r="229" spans="2:10" customFormat="1" ht="20">
      <c r="B229" s="733"/>
      <c r="C229" s="734"/>
      <c r="D229" s="788"/>
      <c r="E229" s="788"/>
      <c r="F229" s="788"/>
      <c r="G229" s="788"/>
      <c r="H229" s="788"/>
      <c r="I229" s="788"/>
      <c r="J229" s="788"/>
    </row>
    <row r="230" spans="2:10" customFormat="1" ht="20">
      <c r="B230" s="733"/>
      <c r="C230" s="734"/>
      <c r="D230" s="788"/>
      <c r="E230" s="788"/>
      <c r="F230" s="788"/>
      <c r="G230" s="788"/>
      <c r="H230" s="788"/>
      <c r="I230" s="788"/>
      <c r="J230" s="788"/>
    </row>
    <row r="231" spans="2:10" customFormat="1" ht="20">
      <c r="B231" s="733"/>
      <c r="C231" s="734"/>
      <c r="D231" s="788"/>
      <c r="E231" s="788"/>
      <c r="F231" s="788"/>
      <c r="G231" s="788"/>
      <c r="H231" s="788"/>
      <c r="I231" s="788"/>
      <c r="J231" s="788"/>
    </row>
    <row r="232" spans="2:10" customFormat="1" ht="20">
      <c r="B232" s="733"/>
      <c r="C232" s="734"/>
      <c r="D232" s="788"/>
      <c r="E232" s="788"/>
      <c r="F232" s="788"/>
      <c r="G232" s="788"/>
      <c r="H232" s="788"/>
      <c r="I232" s="788"/>
      <c r="J232" s="788"/>
    </row>
    <row r="233" spans="2:10" customFormat="1" ht="20">
      <c r="B233" s="733"/>
      <c r="C233" s="734"/>
      <c r="D233" s="788"/>
      <c r="E233" s="788"/>
      <c r="F233" s="788"/>
      <c r="G233" s="788"/>
      <c r="H233" s="788"/>
      <c r="I233" s="788"/>
      <c r="J233" s="788"/>
    </row>
    <row r="234" spans="2:10" customFormat="1" ht="20">
      <c r="B234" s="733"/>
      <c r="C234" s="734"/>
      <c r="D234" s="788"/>
      <c r="E234" s="788"/>
      <c r="F234" s="788"/>
      <c r="G234" s="788"/>
      <c r="H234" s="788"/>
      <c r="I234" s="788"/>
      <c r="J234" s="788"/>
    </row>
    <row r="235" spans="2:10" customFormat="1" ht="20">
      <c r="B235" s="733"/>
      <c r="C235" s="734"/>
      <c r="D235" s="788"/>
      <c r="E235" s="788"/>
      <c r="F235" s="788"/>
      <c r="G235" s="788"/>
      <c r="H235" s="788"/>
      <c r="I235" s="788"/>
      <c r="J235" s="788"/>
    </row>
    <row r="236" spans="2:10" customFormat="1" ht="20">
      <c r="B236" s="733"/>
      <c r="C236" s="734"/>
      <c r="D236" s="788"/>
      <c r="E236" s="788"/>
      <c r="F236" s="788"/>
      <c r="G236" s="788"/>
      <c r="H236" s="788"/>
      <c r="I236" s="788"/>
      <c r="J236" s="788"/>
    </row>
    <row r="237" spans="2:10" customFormat="1" ht="20">
      <c r="B237" s="733"/>
      <c r="C237" s="734"/>
      <c r="D237" s="788"/>
      <c r="E237" s="788"/>
      <c r="F237" s="788"/>
      <c r="G237" s="788"/>
      <c r="H237" s="788"/>
      <c r="I237" s="788"/>
      <c r="J237" s="788"/>
    </row>
    <row r="238" spans="2:10" customFormat="1" ht="20">
      <c r="B238" s="733"/>
      <c r="C238" s="734"/>
      <c r="D238" s="788"/>
      <c r="E238" s="788"/>
      <c r="F238" s="788"/>
      <c r="G238" s="788"/>
      <c r="H238" s="788"/>
      <c r="I238" s="788"/>
      <c r="J238" s="788"/>
    </row>
    <row r="239" spans="2:10" customFormat="1" ht="20">
      <c r="B239" s="733"/>
      <c r="C239" s="734"/>
      <c r="D239" s="788"/>
      <c r="E239" s="788"/>
      <c r="F239" s="788"/>
      <c r="G239" s="788"/>
      <c r="H239" s="788"/>
      <c r="I239" s="788"/>
      <c r="J239" s="788"/>
    </row>
    <row r="240" spans="2:10" customFormat="1" ht="20">
      <c r="B240" s="733"/>
      <c r="C240" s="734"/>
      <c r="D240" s="788"/>
      <c r="E240" s="788"/>
      <c r="F240" s="788"/>
      <c r="G240" s="788"/>
      <c r="H240" s="788"/>
      <c r="I240" s="788"/>
      <c r="J240" s="788"/>
    </row>
    <row r="241" spans="2:10" customFormat="1" ht="20">
      <c r="B241" s="733"/>
      <c r="C241" s="734"/>
      <c r="D241" s="788"/>
      <c r="E241" s="788"/>
      <c r="F241" s="788"/>
      <c r="G241" s="788"/>
      <c r="H241" s="788"/>
      <c r="I241" s="788"/>
      <c r="J241" s="788"/>
    </row>
    <row r="242" spans="2:10" customFormat="1" ht="20">
      <c r="B242" s="733"/>
      <c r="C242" s="734"/>
      <c r="D242" s="788"/>
      <c r="E242" s="788"/>
      <c r="F242" s="788"/>
      <c r="G242" s="788"/>
      <c r="H242" s="788"/>
      <c r="I242" s="788"/>
      <c r="J242" s="788"/>
    </row>
    <row r="243" spans="2:10" customFormat="1" ht="20">
      <c r="B243" s="733"/>
      <c r="C243" s="734"/>
      <c r="D243" s="788"/>
      <c r="E243" s="788"/>
      <c r="F243" s="788"/>
      <c r="G243" s="788"/>
      <c r="H243" s="788"/>
      <c r="I243" s="788"/>
      <c r="J243" s="788"/>
    </row>
    <row r="244" spans="2:10" customFormat="1" ht="20">
      <c r="B244" s="733"/>
      <c r="C244" s="734"/>
      <c r="D244" s="788"/>
      <c r="E244" s="788"/>
      <c r="F244" s="788"/>
      <c r="G244" s="788"/>
      <c r="H244" s="788"/>
      <c r="I244" s="788"/>
      <c r="J244" s="788"/>
    </row>
    <row r="245" spans="2:10" customFormat="1" ht="20">
      <c r="B245" s="733"/>
      <c r="C245" s="734"/>
      <c r="D245" s="788"/>
      <c r="E245" s="788"/>
      <c r="F245" s="788"/>
      <c r="G245" s="788"/>
      <c r="H245" s="788"/>
      <c r="I245" s="788"/>
      <c r="J245" s="788"/>
    </row>
    <row r="246" spans="2:10" customFormat="1" ht="20">
      <c r="B246" s="733"/>
      <c r="C246" s="734"/>
      <c r="D246" s="788"/>
      <c r="E246" s="788"/>
      <c r="F246" s="788"/>
      <c r="G246" s="788"/>
      <c r="H246" s="788"/>
      <c r="I246" s="788"/>
      <c r="J246" s="788"/>
    </row>
    <row r="247" spans="2:10" customFormat="1" ht="20">
      <c r="B247" s="733"/>
      <c r="C247" s="734"/>
      <c r="D247" s="788"/>
      <c r="E247" s="788"/>
      <c r="F247" s="788"/>
      <c r="G247" s="788"/>
      <c r="H247" s="788"/>
      <c r="I247" s="788"/>
      <c r="J247" s="788"/>
    </row>
    <row r="248" spans="2:10" customFormat="1" ht="20">
      <c r="B248" s="733"/>
      <c r="C248" s="734"/>
      <c r="D248" s="788"/>
      <c r="E248" s="788"/>
      <c r="F248" s="788"/>
      <c r="G248" s="788"/>
      <c r="H248" s="788"/>
      <c r="I248" s="788"/>
      <c r="J248" s="788"/>
    </row>
    <row r="249" spans="2:10" customFormat="1" ht="20">
      <c r="B249" s="733"/>
      <c r="C249" s="734"/>
      <c r="D249" s="788"/>
      <c r="E249" s="788"/>
      <c r="F249" s="788"/>
      <c r="G249" s="788"/>
      <c r="H249" s="788"/>
      <c r="I249" s="788"/>
      <c r="J249" s="788"/>
    </row>
    <row r="250" spans="2:10" customFormat="1" ht="20">
      <c r="B250" s="733"/>
      <c r="C250" s="734"/>
      <c r="D250" s="788"/>
      <c r="E250" s="788"/>
      <c r="F250" s="788"/>
      <c r="G250" s="788"/>
      <c r="H250" s="788"/>
      <c r="I250" s="788"/>
      <c r="J250" s="788"/>
    </row>
    <row r="251" spans="2:10" customFormat="1" ht="20">
      <c r="B251" s="733"/>
      <c r="C251" s="734"/>
      <c r="D251" s="788"/>
      <c r="E251" s="788"/>
      <c r="F251" s="788"/>
      <c r="G251" s="788"/>
      <c r="H251" s="788"/>
      <c r="I251" s="788"/>
      <c r="J251" s="788"/>
    </row>
    <row r="252" spans="2:10" customFormat="1" ht="20">
      <c r="B252" s="733"/>
      <c r="C252" s="734"/>
      <c r="D252" s="788"/>
      <c r="E252" s="788"/>
      <c r="F252" s="788"/>
      <c r="G252" s="788"/>
      <c r="H252" s="788"/>
      <c r="I252" s="788"/>
      <c r="J252" s="788"/>
    </row>
    <row r="253" spans="2:10" customFormat="1" ht="20">
      <c r="B253" s="733"/>
      <c r="C253" s="734"/>
      <c r="D253" s="788"/>
      <c r="E253" s="788"/>
      <c r="F253" s="788"/>
      <c r="G253" s="788"/>
      <c r="H253" s="788"/>
      <c r="I253" s="788"/>
      <c r="J253" s="788"/>
    </row>
    <row r="254" spans="2:10" customFormat="1" ht="20">
      <c r="B254" s="733"/>
      <c r="C254" s="734"/>
      <c r="D254" s="788"/>
      <c r="E254" s="788"/>
      <c r="F254" s="788"/>
      <c r="G254" s="788"/>
      <c r="H254" s="788"/>
      <c r="I254" s="788"/>
      <c r="J254" s="788"/>
    </row>
    <row r="255" spans="2:10" customFormat="1" ht="20">
      <c r="B255" s="733"/>
      <c r="C255" s="734"/>
      <c r="D255" s="788"/>
      <c r="E255" s="788"/>
      <c r="F255" s="788"/>
      <c r="G255" s="788"/>
      <c r="H255" s="788"/>
      <c r="I255" s="788"/>
      <c r="J255" s="788"/>
    </row>
    <row r="256" spans="2:10" customFormat="1" ht="20">
      <c r="B256" s="733"/>
      <c r="C256" s="734"/>
      <c r="D256" s="788"/>
      <c r="E256" s="788"/>
      <c r="F256" s="788"/>
      <c r="G256" s="788"/>
      <c r="H256" s="788"/>
      <c r="I256" s="788"/>
      <c r="J256" s="788"/>
    </row>
    <row r="257" spans="2:10" customFormat="1" ht="20">
      <c r="B257" s="733"/>
      <c r="C257" s="734"/>
      <c r="D257" s="788"/>
      <c r="E257" s="788"/>
      <c r="F257" s="788"/>
      <c r="G257" s="788"/>
      <c r="H257" s="788"/>
      <c r="I257" s="788"/>
      <c r="J257" s="788"/>
    </row>
    <row r="258" spans="2:10" customFormat="1" ht="20">
      <c r="B258" s="733"/>
      <c r="C258" s="734"/>
      <c r="D258" s="788"/>
      <c r="E258" s="788"/>
      <c r="F258" s="788"/>
      <c r="G258" s="788"/>
      <c r="H258" s="788"/>
      <c r="I258" s="788"/>
      <c r="J258" s="788"/>
    </row>
    <row r="259" spans="2:10" customFormat="1" ht="20">
      <c r="B259" s="733"/>
      <c r="C259" s="734"/>
      <c r="D259" s="788"/>
      <c r="E259" s="788"/>
      <c r="F259" s="788"/>
      <c r="G259" s="788"/>
      <c r="H259" s="788"/>
      <c r="I259" s="788"/>
      <c r="J259" s="788"/>
    </row>
    <row r="260" spans="2:10" customFormat="1" ht="20">
      <c r="B260" s="733"/>
      <c r="C260" s="734"/>
      <c r="D260" s="788"/>
      <c r="E260" s="788"/>
      <c r="F260" s="788"/>
      <c r="G260" s="788"/>
      <c r="H260" s="788"/>
      <c r="I260" s="788"/>
      <c r="J260" s="788"/>
    </row>
    <row r="261" spans="2:10" customFormat="1" ht="20">
      <c r="B261" s="733"/>
      <c r="C261" s="734"/>
      <c r="D261" s="788"/>
      <c r="E261" s="788"/>
      <c r="F261" s="788"/>
      <c r="G261" s="788"/>
      <c r="H261" s="788"/>
      <c r="I261" s="788"/>
      <c r="J261" s="788"/>
    </row>
    <row r="262" spans="2:10" customFormat="1" ht="20">
      <c r="B262" s="733"/>
      <c r="C262" s="734"/>
      <c r="D262" s="788"/>
      <c r="E262" s="788"/>
      <c r="F262" s="788"/>
      <c r="G262" s="788"/>
      <c r="H262" s="788"/>
      <c r="I262" s="788"/>
      <c r="J262" s="788"/>
    </row>
    <row r="263" spans="2:10" customFormat="1" ht="20">
      <c r="B263" s="733"/>
      <c r="C263" s="734"/>
      <c r="D263" s="788"/>
      <c r="E263" s="788"/>
      <c r="F263" s="788"/>
      <c r="G263" s="788"/>
      <c r="H263" s="788"/>
      <c r="I263" s="788"/>
      <c r="J263" s="788"/>
    </row>
    <row r="264" spans="2:10" customFormat="1" ht="20">
      <c r="B264" s="733"/>
      <c r="C264" s="734"/>
      <c r="D264" s="788"/>
      <c r="E264" s="788"/>
      <c r="F264" s="788"/>
      <c r="G264" s="788"/>
      <c r="H264" s="788"/>
      <c r="I264" s="788"/>
      <c r="J264" s="788"/>
    </row>
    <row r="265" spans="2:10" customFormat="1" ht="20">
      <c r="B265" s="733"/>
      <c r="C265" s="734"/>
      <c r="D265" s="788"/>
      <c r="E265" s="788"/>
      <c r="F265" s="788"/>
      <c r="G265" s="788"/>
      <c r="H265" s="788"/>
      <c r="I265" s="788"/>
      <c r="J265" s="788"/>
    </row>
    <row r="266" spans="2:10" customFormat="1" ht="20">
      <c r="B266" s="733"/>
      <c r="C266" s="734"/>
      <c r="D266" s="788"/>
      <c r="E266" s="788"/>
      <c r="F266" s="788"/>
      <c r="G266" s="788"/>
      <c r="H266" s="788"/>
      <c r="I266" s="788"/>
      <c r="J266" s="788"/>
    </row>
    <row r="267" spans="2:10" customFormat="1" ht="20">
      <c r="B267" s="733"/>
      <c r="C267" s="734"/>
      <c r="D267" s="788"/>
      <c r="E267" s="788"/>
      <c r="F267" s="788"/>
      <c r="G267" s="788"/>
      <c r="H267" s="788"/>
      <c r="I267" s="788"/>
      <c r="J267" s="788"/>
    </row>
    <row r="268" spans="2:10" customFormat="1" ht="20">
      <c r="B268" s="733"/>
      <c r="C268" s="734"/>
      <c r="D268" s="788"/>
      <c r="E268" s="788"/>
      <c r="F268" s="788"/>
      <c r="G268" s="788"/>
      <c r="H268" s="788"/>
      <c r="I268" s="788"/>
      <c r="J268" s="788"/>
    </row>
    <row r="269" spans="2:10" customFormat="1" ht="20">
      <c r="B269" s="733"/>
      <c r="C269" s="734"/>
      <c r="D269" s="788"/>
      <c r="E269" s="788"/>
      <c r="F269" s="788"/>
      <c r="G269" s="788"/>
      <c r="H269" s="788"/>
      <c r="I269" s="788"/>
      <c r="J269" s="788"/>
    </row>
    <row r="270" spans="2:10" customFormat="1" ht="20">
      <c r="B270" s="733"/>
      <c r="C270" s="734"/>
      <c r="D270" s="788"/>
      <c r="E270" s="788"/>
      <c r="F270" s="788"/>
      <c r="G270" s="788"/>
      <c r="H270" s="788"/>
      <c r="I270" s="788"/>
      <c r="J270" s="788"/>
    </row>
    <row r="271" spans="2:10" customFormat="1" ht="20">
      <c r="B271" s="733"/>
      <c r="C271" s="734"/>
      <c r="D271" s="788"/>
      <c r="E271" s="788"/>
      <c r="F271" s="788"/>
      <c r="G271" s="788"/>
      <c r="H271" s="788"/>
      <c r="I271" s="788"/>
      <c r="J271" s="788"/>
    </row>
    <row r="272" spans="2:10" customFormat="1" ht="20">
      <c r="B272" s="733"/>
      <c r="C272" s="734"/>
      <c r="D272" s="788"/>
      <c r="E272" s="788"/>
      <c r="F272" s="788"/>
      <c r="G272" s="788"/>
      <c r="H272" s="788"/>
      <c r="I272" s="788"/>
      <c r="J272" s="788"/>
    </row>
    <row r="273" spans="2:10" customFormat="1" ht="20">
      <c r="B273" s="733"/>
      <c r="C273" s="734"/>
      <c r="D273" s="788"/>
      <c r="E273" s="788"/>
      <c r="F273" s="788"/>
      <c r="G273" s="788"/>
      <c r="H273" s="788"/>
      <c r="I273" s="788"/>
      <c r="J273" s="788"/>
    </row>
    <row r="274" spans="2:10" customFormat="1" ht="20">
      <c r="B274" s="733"/>
      <c r="C274" s="734"/>
      <c r="D274" s="788"/>
      <c r="E274" s="788"/>
      <c r="F274" s="788"/>
      <c r="G274" s="788"/>
      <c r="H274" s="788"/>
      <c r="I274" s="788"/>
      <c r="J274" s="788"/>
    </row>
    <row r="275" spans="2:10" customFormat="1" ht="20">
      <c r="B275" s="733"/>
      <c r="C275" s="734"/>
      <c r="D275" s="788"/>
      <c r="E275" s="788"/>
      <c r="F275" s="788"/>
      <c r="G275" s="788"/>
      <c r="H275" s="788"/>
      <c r="I275" s="788"/>
      <c r="J275" s="788"/>
    </row>
    <row r="276" spans="2:10" customFormat="1" ht="20">
      <c r="B276" s="733"/>
      <c r="C276" s="734"/>
      <c r="D276" s="788"/>
      <c r="E276" s="788"/>
      <c r="F276" s="788"/>
      <c r="G276" s="788"/>
      <c r="H276" s="788"/>
      <c r="I276" s="788"/>
      <c r="J276" s="788"/>
    </row>
    <row r="277" spans="2:10" customFormat="1" ht="20">
      <c r="B277" s="733"/>
      <c r="C277" s="734"/>
      <c r="D277" s="788"/>
      <c r="E277" s="788"/>
      <c r="F277" s="788"/>
      <c r="G277" s="788"/>
      <c r="H277" s="788"/>
      <c r="I277" s="788"/>
      <c r="J277" s="788"/>
    </row>
    <row r="278" spans="2:10" customFormat="1" ht="20">
      <c r="B278" s="733"/>
      <c r="C278" s="734"/>
      <c r="D278" s="788"/>
      <c r="E278" s="788"/>
      <c r="F278" s="788"/>
      <c r="G278" s="788"/>
      <c r="H278" s="788"/>
      <c r="I278" s="788"/>
      <c r="J278" s="788"/>
    </row>
    <row r="279" spans="2:10" customFormat="1" ht="20">
      <c r="B279" s="733"/>
      <c r="C279" s="734"/>
      <c r="D279" s="788"/>
      <c r="E279" s="788"/>
      <c r="F279" s="788"/>
      <c r="G279" s="788"/>
      <c r="H279" s="788"/>
      <c r="I279" s="788"/>
      <c r="J279" s="788"/>
    </row>
    <row r="280" spans="2:10" customFormat="1" ht="20">
      <c r="B280" s="733"/>
      <c r="C280" s="734"/>
      <c r="D280" s="788"/>
      <c r="E280" s="788"/>
      <c r="F280" s="788"/>
      <c r="G280" s="788"/>
      <c r="H280" s="788"/>
      <c r="I280" s="788"/>
      <c r="J280" s="788"/>
    </row>
    <row r="281" spans="2:10" customFormat="1" ht="20">
      <c r="B281" s="733"/>
      <c r="C281" s="734"/>
      <c r="D281" s="788"/>
      <c r="E281" s="788"/>
      <c r="F281" s="788"/>
      <c r="G281" s="788"/>
      <c r="H281" s="788"/>
      <c r="I281" s="788"/>
      <c r="J281" s="788"/>
    </row>
    <row r="282" spans="2:10" customFormat="1" ht="20">
      <c r="B282" s="733"/>
      <c r="C282" s="734"/>
      <c r="D282" s="788"/>
      <c r="E282" s="788"/>
      <c r="F282" s="788"/>
      <c r="G282" s="788"/>
      <c r="H282" s="788"/>
      <c r="I282" s="788"/>
      <c r="J282" s="788"/>
    </row>
    <row r="283" spans="2:10" customFormat="1" ht="20">
      <c r="B283" s="733"/>
      <c r="C283" s="734"/>
      <c r="D283" s="788"/>
      <c r="E283" s="788"/>
      <c r="F283" s="788"/>
      <c r="G283" s="788"/>
      <c r="H283" s="788"/>
      <c r="I283" s="788"/>
      <c r="J283" s="788"/>
    </row>
    <row r="284" spans="2:10" customFormat="1" ht="20">
      <c r="B284" s="733"/>
      <c r="C284" s="734"/>
      <c r="D284" s="788"/>
      <c r="E284" s="788"/>
      <c r="F284" s="788"/>
      <c r="G284" s="788"/>
      <c r="H284" s="788"/>
      <c r="I284" s="788"/>
      <c r="J284" s="788"/>
    </row>
    <row r="285" spans="2:10" customFormat="1" ht="20">
      <c r="B285" s="733"/>
      <c r="C285" s="734"/>
      <c r="D285" s="788"/>
      <c r="E285" s="788"/>
      <c r="F285" s="788"/>
      <c r="G285" s="788"/>
      <c r="H285" s="788"/>
      <c r="I285" s="788"/>
      <c r="J285" s="788"/>
    </row>
    <row r="286" spans="2:10" customFormat="1" ht="20">
      <c r="B286" s="733"/>
      <c r="C286" s="734"/>
      <c r="D286" s="788"/>
      <c r="E286" s="788"/>
      <c r="F286" s="788"/>
      <c r="G286" s="788"/>
      <c r="H286" s="788"/>
      <c r="I286" s="788"/>
      <c r="J286" s="788"/>
    </row>
    <row r="287" spans="2:10" customFormat="1" ht="20">
      <c r="B287" s="733"/>
      <c r="C287" s="734"/>
      <c r="D287" s="788"/>
      <c r="E287" s="788"/>
      <c r="F287" s="788"/>
      <c r="G287" s="788"/>
      <c r="H287" s="788"/>
      <c r="I287" s="788"/>
      <c r="J287" s="788"/>
    </row>
    <row r="288" spans="2:10" customFormat="1" ht="20">
      <c r="B288" s="733"/>
      <c r="C288" s="734"/>
      <c r="D288" s="788"/>
      <c r="E288" s="788"/>
      <c r="F288" s="788"/>
      <c r="G288" s="788"/>
      <c r="H288" s="788"/>
      <c r="I288" s="788"/>
      <c r="J288" s="788"/>
    </row>
    <row r="289" spans="2:10" customFormat="1" ht="20">
      <c r="B289" s="733"/>
      <c r="C289" s="734"/>
      <c r="D289" s="788"/>
      <c r="E289" s="788"/>
      <c r="F289" s="788"/>
      <c r="G289" s="788"/>
      <c r="H289" s="788"/>
      <c r="I289" s="788"/>
      <c r="J289" s="788"/>
    </row>
    <row r="290" spans="2:10" customFormat="1" ht="20">
      <c r="B290" s="733"/>
      <c r="C290" s="734"/>
      <c r="D290" s="788"/>
      <c r="E290" s="788"/>
      <c r="F290" s="788"/>
      <c r="G290" s="788"/>
      <c r="H290" s="788"/>
      <c r="I290" s="788"/>
      <c r="J290" s="788"/>
    </row>
    <row r="291" spans="2:10" customFormat="1" ht="20">
      <c r="B291" s="733"/>
      <c r="C291" s="734"/>
      <c r="D291" s="788"/>
      <c r="E291" s="788"/>
      <c r="F291" s="788"/>
      <c r="G291" s="788"/>
      <c r="H291" s="788"/>
      <c r="I291" s="788"/>
      <c r="J291" s="788"/>
    </row>
    <row r="292" spans="2:10" customFormat="1" ht="20">
      <c r="B292" s="733"/>
      <c r="C292" s="734"/>
      <c r="D292" s="788"/>
      <c r="E292" s="788"/>
      <c r="F292" s="788"/>
      <c r="G292" s="788"/>
      <c r="H292" s="788"/>
      <c r="I292" s="788"/>
      <c r="J292" s="788"/>
    </row>
    <row r="293" spans="2:10" customFormat="1" ht="20">
      <c r="B293" s="733"/>
      <c r="C293" s="734"/>
      <c r="D293" s="788"/>
      <c r="E293" s="788"/>
      <c r="F293" s="788"/>
      <c r="G293" s="788"/>
      <c r="H293" s="788"/>
      <c r="I293" s="788"/>
      <c r="J293" s="788"/>
    </row>
    <row r="294" spans="2:10" customFormat="1" ht="20">
      <c r="B294" s="733"/>
      <c r="C294" s="734"/>
      <c r="D294" s="788"/>
      <c r="E294" s="788"/>
      <c r="F294" s="788"/>
      <c r="G294" s="788"/>
      <c r="H294" s="788"/>
      <c r="I294" s="788"/>
      <c r="J294" s="788"/>
    </row>
    <row r="295" spans="2:10" customFormat="1" ht="20">
      <c r="B295" s="733"/>
      <c r="C295" s="734"/>
      <c r="D295" s="788"/>
      <c r="E295" s="788"/>
      <c r="F295" s="788"/>
      <c r="G295" s="788"/>
      <c r="H295" s="788"/>
      <c r="I295" s="788"/>
      <c r="J295" s="788"/>
    </row>
    <row r="296" spans="2:10" customFormat="1" ht="20">
      <c r="B296" s="733"/>
      <c r="C296" s="734"/>
      <c r="D296" s="788"/>
      <c r="E296" s="788"/>
      <c r="F296" s="788"/>
      <c r="G296" s="788"/>
      <c r="H296" s="788"/>
      <c r="I296" s="788"/>
      <c r="J296" s="788"/>
    </row>
    <row r="297" spans="2:10" customFormat="1" ht="20">
      <c r="B297" s="733"/>
      <c r="C297" s="734"/>
      <c r="D297" s="788"/>
      <c r="E297" s="788"/>
      <c r="F297" s="788"/>
      <c r="G297" s="788"/>
      <c r="H297" s="788"/>
      <c r="I297" s="788"/>
      <c r="J297" s="788"/>
    </row>
    <row r="298" spans="2:10" customFormat="1" ht="20">
      <c r="B298" s="733"/>
      <c r="C298" s="734"/>
      <c r="D298" s="788"/>
      <c r="E298" s="788"/>
      <c r="F298" s="788"/>
      <c r="G298" s="788"/>
      <c r="H298" s="788"/>
      <c r="I298" s="788"/>
      <c r="J298" s="788"/>
    </row>
    <row r="299" spans="2:10" customFormat="1" ht="20">
      <c r="B299" s="733"/>
      <c r="C299" s="734"/>
      <c r="D299" s="788"/>
      <c r="E299" s="788"/>
      <c r="F299" s="788"/>
      <c r="G299" s="788"/>
      <c r="H299" s="788"/>
      <c r="I299" s="788"/>
      <c r="J299" s="788"/>
    </row>
    <row r="300" spans="2:10" customFormat="1" ht="20">
      <c r="B300" s="733"/>
      <c r="C300" s="734"/>
      <c r="D300" s="788"/>
      <c r="E300" s="788"/>
      <c r="F300" s="788"/>
      <c r="G300" s="788"/>
      <c r="H300" s="788"/>
      <c r="I300" s="788"/>
      <c r="J300" s="788"/>
    </row>
    <row r="301" spans="2:10" customFormat="1" ht="20">
      <c r="B301" s="733"/>
      <c r="C301" s="734"/>
      <c r="D301" s="788"/>
      <c r="E301" s="788"/>
      <c r="F301" s="788"/>
      <c r="G301" s="788"/>
      <c r="H301" s="788"/>
      <c r="I301" s="788"/>
      <c r="J301" s="788"/>
    </row>
    <row r="302" spans="2:10" customFormat="1" ht="20">
      <c r="B302" s="733"/>
      <c r="C302" s="734"/>
      <c r="D302" s="788"/>
      <c r="E302" s="788"/>
      <c r="F302" s="788"/>
      <c r="G302" s="788"/>
      <c r="H302" s="788"/>
      <c r="I302" s="788"/>
      <c r="J302" s="788"/>
    </row>
    <row r="303" spans="2:10" customFormat="1" ht="20">
      <c r="B303" s="733"/>
      <c r="C303" s="734"/>
      <c r="D303" s="788"/>
      <c r="E303" s="788"/>
      <c r="F303" s="788"/>
      <c r="G303" s="788"/>
      <c r="H303" s="788"/>
      <c r="I303" s="788"/>
      <c r="J303" s="788"/>
    </row>
    <row r="304" spans="2:10" customFormat="1" ht="20">
      <c r="B304" s="733"/>
      <c r="C304" s="734"/>
      <c r="D304" s="788"/>
      <c r="E304" s="788"/>
      <c r="F304" s="788"/>
      <c r="G304" s="788"/>
      <c r="H304" s="788"/>
      <c r="I304" s="788"/>
      <c r="J304" s="788"/>
    </row>
    <row r="305" spans="2:10" customFormat="1" ht="20">
      <c r="B305" s="733"/>
      <c r="C305" s="734"/>
      <c r="D305" s="788"/>
      <c r="E305" s="788"/>
      <c r="F305" s="788"/>
      <c r="G305" s="788"/>
      <c r="H305" s="788"/>
      <c r="I305" s="788"/>
      <c r="J305" s="788"/>
    </row>
    <row r="306" spans="2:10" customFormat="1" ht="20">
      <c r="B306" s="733"/>
      <c r="C306" s="734"/>
      <c r="D306" s="788"/>
      <c r="E306" s="788"/>
      <c r="F306" s="788"/>
      <c r="G306" s="788"/>
      <c r="H306" s="788"/>
      <c r="I306" s="788"/>
      <c r="J306" s="788"/>
    </row>
    <row r="307" spans="2:10" customFormat="1" ht="20">
      <c r="B307" s="733"/>
      <c r="C307" s="734"/>
      <c r="D307" s="788"/>
      <c r="E307" s="788"/>
      <c r="F307" s="788"/>
      <c r="G307" s="788"/>
      <c r="H307" s="788"/>
      <c r="I307" s="788"/>
      <c r="J307" s="788"/>
    </row>
    <row r="308" spans="2:10" customFormat="1" ht="20">
      <c r="B308" s="733"/>
      <c r="C308" s="734"/>
      <c r="D308" s="788"/>
      <c r="E308" s="788"/>
      <c r="F308" s="788"/>
      <c r="G308" s="788"/>
      <c r="H308" s="788"/>
      <c r="I308" s="788"/>
      <c r="J308" s="788"/>
    </row>
    <row r="309" spans="2:10" customFormat="1" ht="20">
      <c r="B309" s="733"/>
      <c r="C309" s="734"/>
      <c r="D309" s="788"/>
      <c r="E309" s="788"/>
      <c r="F309" s="788"/>
      <c r="G309" s="788"/>
      <c r="H309" s="788"/>
      <c r="I309" s="788"/>
      <c r="J309" s="788"/>
    </row>
    <row r="310" spans="2:10" customFormat="1" ht="20">
      <c r="B310" s="733"/>
      <c r="C310" s="734"/>
      <c r="D310" s="788"/>
      <c r="E310" s="788"/>
      <c r="F310" s="788"/>
      <c r="G310" s="788"/>
      <c r="H310" s="788"/>
      <c r="I310" s="788"/>
      <c r="J310" s="788"/>
    </row>
    <row r="311" spans="2:10" customFormat="1" ht="20">
      <c r="B311" s="733"/>
      <c r="C311" s="734"/>
      <c r="D311" s="788"/>
      <c r="E311" s="788"/>
      <c r="F311" s="788"/>
      <c r="G311" s="788"/>
      <c r="H311" s="788"/>
      <c r="I311" s="788"/>
      <c r="J311" s="788"/>
    </row>
    <row r="312" spans="2:10" customFormat="1" ht="20">
      <c r="B312" s="733"/>
      <c r="C312" s="734"/>
      <c r="D312" s="788"/>
      <c r="E312" s="788"/>
      <c r="F312" s="788"/>
      <c r="G312" s="788"/>
      <c r="H312" s="788"/>
      <c r="I312" s="788"/>
      <c r="J312" s="788"/>
    </row>
    <row r="313" spans="2:10" customFormat="1" ht="20">
      <c r="B313" s="733"/>
      <c r="C313" s="734"/>
      <c r="D313" s="788"/>
      <c r="E313" s="788"/>
      <c r="F313" s="788"/>
      <c r="G313" s="788"/>
      <c r="H313" s="788"/>
      <c r="I313" s="788"/>
      <c r="J313" s="788"/>
    </row>
    <row r="314" spans="2:10" customFormat="1" ht="20">
      <c r="B314" s="733"/>
      <c r="C314" s="734"/>
      <c r="D314" s="788"/>
      <c r="E314" s="788"/>
      <c r="F314" s="788"/>
      <c r="G314" s="788"/>
      <c r="H314" s="788"/>
      <c r="I314" s="788"/>
      <c r="J314" s="788"/>
    </row>
    <row r="315" spans="2:10" customFormat="1" ht="20">
      <c r="B315" s="733"/>
      <c r="C315" s="734"/>
      <c r="D315" s="788"/>
      <c r="E315" s="788"/>
      <c r="F315" s="788"/>
      <c r="G315" s="788"/>
      <c r="H315" s="788"/>
      <c r="I315" s="788"/>
      <c r="J315" s="788"/>
    </row>
    <row r="316" spans="2:10" customFormat="1" ht="13"/>
    <row r="317" spans="2:10" customFormat="1" ht="13"/>
    <row r="318" spans="2:10" customFormat="1" ht="13"/>
    <row r="319" spans="2:10" customFormat="1" ht="13"/>
    <row r="320" spans="2:10" customFormat="1" ht="13"/>
    <row r="321" customFormat="1" ht="13"/>
    <row r="322" customFormat="1" ht="13"/>
    <row r="323" customFormat="1" ht="13"/>
    <row r="324" customFormat="1" ht="13"/>
    <row r="325" customFormat="1" ht="13"/>
    <row r="326" customFormat="1" ht="13"/>
    <row r="327" customFormat="1" ht="13"/>
    <row r="328" customFormat="1" ht="13"/>
    <row r="329" customFormat="1" ht="13"/>
    <row r="330" customFormat="1" ht="13"/>
    <row r="331" customFormat="1" ht="13"/>
    <row r="332" customFormat="1" ht="13"/>
    <row r="333" customFormat="1" ht="13"/>
    <row r="334" customFormat="1" ht="13"/>
    <row r="335" customFormat="1" ht="13"/>
    <row r="336" customFormat="1" ht="13"/>
    <row r="337" customFormat="1" ht="13"/>
    <row r="338" customFormat="1" ht="13"/>
    <row r="339" customFormat="1" ht="13"/>
    <row r="340" customFormat="1" ht="13"/>
    <row r="341" customFormat="1" ht="13"/>
    <row r="342" customFormat="1" ht="13"/>
    <row r="343" customFormat="1" ht="13"/>
    <row r="344" customFormat="1" ht="13"/>
    <row r="345" customFormat="1" ht="13"/>
    <row r="346" customFormat="1" ht="13"/>
    <row r="347" customFormat="1" ht="13"/>
    <row r="348" customFormat="1" ht="13"/>
    <row r="349" customFormat="1" ht="13"/>
    <row r="350" customFormat="1" ht="13"/>
    <row r="351" customFormat="1" ht="13"/>
    <row r="352" customFormat="1" ht="13"/>
    <row r="353" customFormat="1" ht="13"/>
    <row r="354" customFormat="1" ht="13"/>
    <row r="355" customFormat="1" ht="13"/>
    <row r="356" customFormat="1" ht="13"/>
    <row r="357" customFormat="1" ht="13"/>
    <row r="358" customFormat="1" ht="13"/>
    <row r="359" customFormat="1" ht="13"/>
    <row r="360" customFormat="1" ht="13"/>
    <row r="361" customFormat="1" ht="13"/>
    <row r="362" customFormat="1" ht="13"/>
    <row r="363" customFormat="1" ht="13"/>
    <row r="364" customFormat="1" ht="13"/>
    <row r="365" customFormat="1" ht="13"/>
    <row r="366" customFormat="1" ht="13"/>
    <row r="367" customFormat="1" ht="13"/>
    <row r="368" customFormat="1" ht="13"/>
    <row r="369" customFormat="1" ht="13"/>
    <row r="370" customFormat="1" ht="13"/>
    <row r="371" customFormat="1" ht="13"/>
    <row r="372" customFormat="1" ht="13"/>
    <row r="373" customFormat="1" ht="13"/>
    <row r="374" customFormat="1" ht="13"/>
    <row r="375" customFormat="1" ht="13"/>
    <row r="376" customFormat="1" ht="13"/>
    <row r="377" customFormat="1" ht="13"/>
    <row r="378" customFormat="1" ht="13"/>
    <row r="379" customFormat="1" ht="13"/>
    <row r="380" customFormat="1" ht="13"/>
    <row r="381" customFormat="1" ht="13"/>
    <row r="382" customFormat="1" ht="13"/>
    <row r="383" customFormat="1" ht="13"/>
    <row r="384" customFormat="1" ht="13"/>
    <row r="385" customFormat="1" ht="13"/>
    <row r="386" customFormat="1" ht="13"/>
    <row r="387" customFormat="1" ht="13"/>
    <row r="388" customFormat="1" ht="13"/>
    <row r="389" customFormat="1" ht="13"/>
    <row r="390" customFormat="1" ht="13"/>
    <row r="391" customFormat="1" ht="13"/>
    <row r="392" customFormat="1" ht="13"/>
    <row r="393" customFormat="1" ht="13"/>
    <row r="394" customFormat="1" ht="13"/>
    <row r="395" customFormat="1" ht="13"/>
    <row r="396" customFormat="1" ht="13"/>
    <row r="397" customFormat="1" ht="13"/>
    <row r="398" customFormat="1" ht="13"/>
    <row r="399" customFormat="1" ht="13"/>
    <row r="400" customFormat="1" ht="13"/>
    <row r="401" customFormat="1" ht="13"/>
    <row r="402" customFormat="1" ht="13"/>
    <row r="403" customFormat="1" ht="13"/>
    <row r="404" customFormat="1" ht="13"/>
    <row r="405" customFormat="1" ht="13"/>
    <row r="406" customFormat="1" ht="13"/>
    <row r="407" customFormat="1" ht="13"/>
    <row r="408" customFormat="1" ht="13"/>
    <row r="409" customFormat="1" ht="13"/>
    <row r="410" customFormat="1" ht="13"/>
    <row r="411" customFormat="1" ht="13"/>
    <row r="412" customFormat="1" ht="13"/>
    <row r="413" customFormat="1" ht="13"/>
    <row r="414" customFormat="1" ht="13"/>
    <row r="415" customFormat="1" ht="13"/>
    <row r="416" customFormat="1" ht="13"/>
    <row r="417" customFormat="1" ht="13"/>
    <row r="418" customFormat="1" ht="13"/>
    <row r="419" customFormat="1" ht="13"/>
    <row r="420" customFormat="1" ht="13"/>
    <row r="421" customFormat="1" ht="13"/>
    <row r="422" customFormat="1" ht="13"/>
    <row r="423" customFormat="1" ht="13"/>
    <row r="424" customFormat="1" ht="13"/>
    <row r="425" customFormat="1" ht="13"/>
    <row r="426" customFormat="1" ht="13"/>
    <row r="427" customFormat="1" ht="13"/>
    <row r="428" customFormat="1" ht="13"/>
    <row r="429" customFormat="1" ht="13"/>
    <row r="430" customFormat="1" ht="13"/>
    <row r="431" customFormat="1" ht="13"/>
    <row r="432" customFormat="1" ht="13"/>
    <row r="433" customFormat="1" ht="13"/>
    <row r="434" customFormat="1" ht="13"/>
    <row r="435" customFormat="1" ht="13"/>
    <row r="436" customFormat="1" ht="13"/>
    <row r="437" customFormat="1" ht="13"/>
    <row r="438" customFormat="1" ht="13"/>
    <row r="439" customFormat="1" ht="13"/>
    <row r="440" customFormat="1" ht="13"/>
    <row r="441" customFormat="1" ht="13"/>
    <row r="442" customFormat="1" ht="13"/>
    <row r="443" customFormat="1" ht="13"/>
    <row r="444" customFormat="1" ht="13"/>
    <row r="445" customFormat="1" ht="13"/>
    <row r="446" customFormat="1" ht="13"/>
    <row r="447" customFormat="1" ht="13"/>
    <row r="448" customFormat="1" ht="13"/>
    <row r="449" customFormat="1" ht="13"/>
    <row r="450" customFormat="1" ht="13"/>
    <row r="451" customFormat="1" ht="13"/>
    <row r="452" customFormat="1" ht="13"/>
    <row r="453" customFormat="1" ht="13"/>
    <row r="454" customFormat="1" ht="13"/>
    <row r="455" customFormat="1" ht="13"/>
    <row r="456" customFormat="1" ht="13"/>
    <row r="457" customFormat="1" ht="13"/>
    <row r="458" customFormat="1" ht="13"/>
    <row r="459" customFormat="1" ht="13"/>
    <row r="460" customFormat="1" ht="13"/>
    <row r="461" customFormat="1" ht="13"/>
    <row r="462" customFormat="1" ht="13"/>
    <row r="463" customFormat="1" ht="13"/>
    <row r="464" customFormat="1" ht="13"/>
    <row r="465" customFormat="1" ht="13"/>
    <row r="466" customFormat="1" ht="13"/>
    <row r="467" customFormat="1" ht="13"/>
    <row r="468" customFormat="1" ht="13"/>
    <row r="469" customFormat="1" ht="13"/>
    <row r="470" customFormat="1" ht="13"/>
    <row r="471" customFormat="1" ht="13"/>
    <row r="472" customFormat="1" ht="13"/>
    <row r="473" customFormat="1" ht="13"/>
    <row r="474" customFormat="1" ht="13"/>
    <row r="475" customFormat="1" ht="13"/>
    <row r="476" customFormat="1" ht="13"/>
    <row r="477" customFormat="1" ht="13"/>
    <row r="478" customFormat="1" ht="13"/>
    <row r="479" customFormat="1" ht="13"/>
    <row r="480" customFormat="1" ht="13"/>
    <row r="481" customFormat="1" ht="13"/>
    <row r="482" customFormat="1" ht="13"/>
    <row r="483" customFormat="1" ht="13"/>
    <row r="484" customFormat="1" ht="13"/>
    <row r="485" customFormat="1" ht="13"/>
    <row r="486" customFormat="1" ht="13"/>
    <row r="487" customFormat="1" ht="13"/>
    <row r="488" customFormat="1" ht="13"/>
    <row r="489" customFormat="1" ht="13"/>
    <row r="490" customFormat="1" ht="13"/>
    <row r="491" customFormat="1" ht="13"/>
    <row r="492" customFormat="1" ht="13"/>
    <row r="493" customFormat="1" ht="13"/>
    <row r="494" customFormat="1" ht="13"/>
    <row r="495" customFormat="1" ht="13"/>
    <row r="496" customFormat="1" ht="13"/>
    <row r="497" customFormat="1" ht="13"/>
    <row r="498" customFormat="1" ht="13"/>
    <row r="499" customFormat="1" ht="13"/>
    <row r="500" customFormat="1" ht="13"/>
    <row r="501" customFormat="1" ht="13"/>
    <row r="502" customFormat="1" ht="13"/>
    <row r="503" customFormat="1" ht="13"/>
    <row r="504" customFormat="1" ht="13"/>
    <row r="505" customFormat="1" ht="13"/>
    <row r="506" customFormat="1" ht="13"/>
    <row r="507" customFormat="1" ht="13"/>
    <row r="508" customFormat="1" ht="13"/>
    <row r="509" customFormat="1" ht="13"/>
    <row r="510" customFormat="1" ht="13"/>
    <row r="511" customFormat="1" ht="13"/>
    <row r="512" customFormat="1" ht="13"/>
    <row r="513" customFormat="1" ht="13"/>
    <row r="514" customFormat="1" ht="13"/>
    <row r="515" customFormat="1" ht="13"/>
    <row r="516" customFormat="1" ht="13"/>
    <row r="517" customFormat="1" ht="13"/>
    <row r="518" customFormat="1" ht="13"/>
    <row r="519" customFormat="1" ht="13"/>
    <row r="520" customFormat="1" ht="13"/>
    <row r="521" customFormat="1" ht="13"/>
    <row r="522" customFormat="1" ht="13"/>
    <row r="523" customFormat="1" ht="13"/>
    <row r="524" customFormat="1" ht="13"/>
    <row r="525" customFormat="1" ht="13"/>
    <row r="526" customFormat="1" ht="13"/>
    <row r="527" customFormat="1" ht="13"/>
    <row r="528" customFormat="1" ht="13"/>
    <row r="529" customFormat="1" ht="13"/>
    <row r="530" customFormat="1" ht="13"/>
    <row r="531" customFormat="1" ht="13"/>
    <row r="532" customFormat="1" ht="13"/>
    <row r="533" customFormat="1" ht="13"/>
    <row r="534" customFormat="1" ht="13"/>
    <row r="535" customFormat="1" ht="13"/>
    <row r="536" customFormat="1" ht="13"/>
    <row r="537" customFormat="1" ht="13"/>
    <row r="538" customFormat="1" ht="13"/>
    <row r="539" customFormat="1" ht="13"/>
    <row r="540" customFormat="1" ht="13"/>
    <row r="541" customFormat="1" ht="13"/>
    <row r="542" customFormat="1" ht="13"/>
    <row r="543" customFormat="1" ht="13"/>
    <row r="544" customFormat="1" ht="13"/>
    <row r="545" customFormat="1" ht="13"/>
    <row r="546" customFormat="1" ht="13"/>
    <row r="547" customFormat="1" ht="13"/>
    <row r="548" customFormat="1" ht="13"/>
    <row r="549" customFormat="1" ht="13"/>
    <row r="550" customFormat="1" ht="13"/>
    <row r="551" customFormat="1" ht="13"/>
    <row r="552" customFormat="1" ht="13"/>
    <row r="553" customFormat="1" ht="13"/>
    <row r="554" customFormat="1" ht="13"/>
    <row r="555" customFormat="1" ht="13"/>
    <row r="556" customFormat="1" ht="13"/>
    <row r="557" customFormat="1" ht="13"/>
    <row r="558" customFormat="1" ht="13"/>
    <row r="559" customFormat="1" ht="13"/>
    <row r="560" customFormat="1" ht="13"/>
    <row r="561" customFormat="1" ht="13"/>
    <row r="562" customFormat="1" ht="13"/>
    <row r="563" customFormat="1" ht="13"/>
    <row r="564" customFormat="1" ht="13"/>
    <row r="565" customFormat="1" ht="13"/>
    <row r="566" customFormat="1" ht="13"/>
    <row r="567" customFormat="1" ht="13"/>
    <row r="568" customFormat="1" ht="13"/>
    <row r="569" customFormat="1" ht="13"/>
    <row r="570" customFormat="1" ht="13"/>
    <row r="571" customFormat="1" ht="13"/>
    <row r="572" customFormat="1" ht="13"/>
    <row r="573" customFormat="1" ht="13"/>
    <row r="574" customFormat="1" ht="13"/>
    <row r="575" customFormat="1" ht="13"/>
    <row r="576" customFormat="1" ht="13"/>
    <row r="577" customFormat="1" ht="13"/>
    <row r="578" customFormat="1" ht="13"/>
    <row r="579" customFormat="1" ht="13"/>
    <row r="580" customFormat="1" ht="13"/>
    <row r="581" customFormat="1" ht="13"/>
    <row r="582" customFormat="1" ht="13"/>
    <row r="583" customFormat="1" ht="13"/>
    <row r="584" customFormat="1" ht="13"/>
    <row r="585" customFormat="1" ht="13"/>
    <row r="586" customFormat="1" ht="13"/>
    <row r="587" customFormat="1" ht="13"/>
    <row r="588" customFormat="1" ht="13"/>
    <row r="589" customFormat="1" ht="13"/>
    <row r="590" customFormat="1" ht="13"/>
    <row r="591" customFormat="1" ht="13"/>
    <row r="592" customFormat="1" ht="13"/>
    <row r="593" customFormat="1" ht="13"/>
    <row r="594" customFormat="1" ht="13"/>
    <row r="595" customFormat="1" ht="13"/>
    <row r="596" customFormat="1" ht="13"/>
    <row r="597" customFormat="1" ht="13"/>
  </sheetData>
  <dataConsolidate/>
  <mergeCells count="8">
    <mergeCell ref="B124:G125"/>
    <mergeCell ref="G28:G29"/>
    <mergeCell ref="B1:L2"/>
    <mergeCell ref="I3:L3"/>
    <mergeCell ref="B7:L7"/>
    <mergeCell ref="B52:L53"/>
    <mergeCell ref="C10:D10"/>
    <mergeCell ref="C16:D16"/>
  </mergeCells>
  <conditionalFormatting sqref="D60:J60">
    <cfRule type="expression" dxfId="127" priority="100">
      <formula>IF(NOT(D60="Acceptable"), TRUE, FALSE)</formula>
    </cfRule>
    <cfRule type="expression" dxfId="126" priority="101">
      <formula>IF(D60 = "Acceptable", TRUE, FALSE)</formula>
    </cfRule>
  </conditionalFormatting>
  <conditionalFormatting sqref="D63:J63">
    <cfRule type="expression" dxfId="125" priority="98">
      <formula>D63="No"</formula>
    </cfRule>
    <cfRule type="expression" dxfId="124" priority="99">
      <formula>D63="Yes"</formula>
    </cfRule>
  </conditionalFormatting>
  <conditionalFormatting sqref="D65:J65">
    <cfRule type="expression" dxfId="123" priority="96">
      <formula>D65="No"</formula>
    </cfRule>
    <cfRule type="expression" dxfId="122" priority="97">
      <formula>D65="Yes"</formula>
    </cfRule>
  </conditionalFormatting>
  <conditionalFormatting sqref="D61:J61">
    <cfRule type="expression" dxfId="121" priority="92">
      <formula>D61="Poor"</formula>
    </cfRule>
    <cfRule type="expression" dxfId="120" priority="93">
      <formula>D61="Fair"</formula>
    </cfRule>
    <cfRule type="expression" dxfId="119" priority="94">
      <formula>D61="Good"</formula>
    </cfRule>
    <cfRule type="expression" dxfId="118" priority="95">
      <formula>D61 = "Excellent"</formula>
    </cfRule>
  </conditionalFormatting>
  <conditionalFormatting sqref="D127:J315">
    <cfRule type="expression" dxfId="117" priority="80">
      <formula>MIN($D127:$J127)=D127</formula>
    </cfRule>
    <cfRule type="expression" dxfId="116" priority="87">
      <formula>MAX($D127:$J127)=D127</formula>
    </cfRule>
    <cfRule type="expression" dxfId="115" priority="89" stopIfTrue="1">
      <formula>NOT(ISERROR(FIND("$", $C127)))</formula>
    </cfRule>
    <cfRule type="expression" dxfId="114" priority="91">
      <formula>IFERROR(LOG(D127) &lt; 2, FALSE)</formula>
    </cfRule>
  </conditionalFormatting>
  <conditionalFormatting sqref="D78:J80">
    <cfRule type="expression" dxfId="113" priority="88">
      <formula>NOT(ISERROR(FIND( "$",$C78)))</formula>
    </cfRule>
  </conditionalFormatting>
  <conditionalFormatting sqref="D42:J44">
    <cfRule type="expression" dxfId="112" priority="81">
      <formula>IF(COUNTBLANK(D$42:D$44)&gt;1, FALSE, TRUE)</formula>
    </cfRule>
  </conditionalFormatting>
  <conditionalFormatting sqref="B127:J315">
    <cfRule type="expression" dxfId="111" priority="74" stopIfTrue="1">
      <formula>ISBLANK($B127)</formula>
    </cfRule>
  </conditionalFormatting>
  <conditionalFormatting sqref="B127:J315">
    <cfRule type="expression" dxfId="110" priority="73" stopIfTrue="1">
      <formula>ISERROR($C127)</formula>
    </cfRule>
  </conditionalFormatting>
  <conditionalFormatting sqref="D127:J315">
    <cfRule type="expression" dxfId="109" priority="90" stopIfTrue="1">
      <formula>IF(AND(ABS(D127)&lt;0.01, NOT(D127 = 0)), TRUE, FALSE)</formula>
    </cfRule>
  </conditionalFormatting>
  <conditionalFormatting sqref="C44:J44">
    <cfRule type="expression" dxfId="108" priority="58">
      <formula>OR($E$28="microHEV", $E$28="HEV-HP")</formula>
    </cfRule>
  </conditionalFormatting>
  <conditionalFormatting sqref="E30">
    <cfRule type="expression" dxfId="107" priority="1">
      <formula>NOT($E$28="EV")</formula>
    </cfRule>
  </conditionalFormatting>
  <dataValidations xWindow="1267" yWindow="608" count="4">
    <dataValidation type="list" allowBlank="1" showInputMessage="1" showErrorMessage="1" sqref="C77" xr:uid="{00000000-0002-0000-0100-000000000000}">
      <formula1>"Relative Change (%), Absolute"</formula1>
    </dataValidation>
    <dataValidation type="list" allowBlank="1" showInputMessage="1" showErrorMessage="1" sqref="D56" xr:uid="{00000000-0002-0000-0100-000001000000}">
      <formula1>"0,1"</formula1>
    </dataValidation>
    <dataValidation type="custom" errorStyle="warning" allowBlank="1" showInputMessage="1" showErrorMessage="1" errorTitle="Override Cathode Thickness?" error="Overriding the Cathode thickness may cause output parameters, such as the power requirements, to be wrong" sqref="D47:J47" xr:uid="{00000000-0002-0000-0100-000002000000}">
      <formula1>NOT(ISBLANK(D47))</formula1>
    </dataValidation>
    <dataValidation type="list" allowBlank="1" showInputMessage="1" showErrorMessage="1" sqref="C78:C80" xr:uid="{00000000-0002-0000-0100-000003000000}">
      <formula1>OFFSET($C$127, 0,0, $E$76)</formula1>
    </dataValidation>
  </dataValidations>
  <printOptions headings="1" gridLines="1"/>
  <pageMargins left="0.7" right="0.7" top="0.75" bottom="0.75" header="0.3" footer="0.3"/>
  <pageSetup scale="19" fitToHeight="0" orientation="portrait" r:id="rId1"/>
  <rowBreaks count="1" manualBreakCount="1">
    <brk id="7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6091" r:id="rId4" name="Button 11">
              <controlPr defaultSize="0" print="0" autoFill="0" autoPict="0" macro="[0]!Add_Default_Parameters">
                <anchor moveWithCells="1" sizeWithCells="1">
                  <from>
                    <xdr:col>9</xdr:col>
                    <xdr:colOff>177800</xdr:colOff>
                    <xdr:row>26</xdr:row>
                    <xdr:rowOff>711200</xdr:rowOff>
                  </from>
                  <to>
                    <xdr:col>11</xdr:col>
                    <xdr:colOff>368300</xdr:colOff>
                    <xdr:row>30</xdr:row>
                    <xdr:rowOff>330200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67" yWindow="608" count="4">
        <x14:dataValidation type="list" allowBlank="1" showInputMessage="1" showErrorMessage="1" errorTitle="Coolant Type" error="Select coolant type from list" promptTitle="Coolant Type" xr:uid="{00000000-0002-0000-0100-000004000000}">
          <x14:formula1>
            <xm:f>Lists!$D$3:$D$5</xm:f>
          </x14:formula1>
          <xm:sqref>E29</xm:sqref>
        </x14:dataValidation>
        <x14:dataValidation type="list" allowBlank="1" showInputMessage="1" showErrorMessage="1" errorTitle="Invalid Entry" error="Please select from thelist" promptTitle="Please select Yes or No" xr:uid="{00000000-0002-0000-0100-000005000000}">
          <x14:formula1>
            <xm:f>IF($E$28="EV",Lists!$C$11:$C$12, Lists!$C$12)</xm:f>
          </x14:formula1>
          <xm:sqref>E30</xm:sqref>
        </x14:dataValidation>
        <x14:dataValidation type="list" allowBlank="1" showInputMessage="1" showErrorMessage="1" errorTitle="Fast Charge only for EV" error="Please select &quot;No&quot; for fast charging, as fast charging can only be calculated for EV currently. " promptTitle="Select Vehicle Type" xr:uid="{00000000-0002-0000-0100-000006000000}">
          <x14:formula1>
            <xm:f xml:space="preserve"> Lists!$C$3:$C$6</xm:f>
          </x14:formula1>
          <xm:sqref>E28</xm:sqref>
        </x14:dataValidation>
        <x14:dataValidation type="list" allowBlank="1" showInputMessage="1" showErrorMessage="1" errorTitle="Invalid" error="Select from drop-down Menu" promptTitle="Electrode Chemistry" xr:uid="{00000000-0002-0000-0100-000007000000}">
          <x14:formula1>
            <xm:f>OFFSET(Lists!$B$6, 0,  0, Lists!$B$4, 1)</xm:f>
          </x14:formula1>
          <xm:sqref>E9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indexed="50"/>
  </sheetPr>
  <dimension ref="A1:DJ170"/>
  <sheetViews>
    <sheetView zoomScaleNormal="100" workbookViewId="0">
      <pane ySplit="4" topLeftCell="A5" activePane="bottomLeft" state="frozen"/>
      <selection pane="bottomLeft" activeCell="E49" sqref="E49"/>
    </sheetView>
  </sheetViews>
  <sheetFormatPr baseColWidth="10" defaultColWidth="9.1640625" defaultRowHeight="14"/>
  <cols>
    <col min="1" max="1" width="31.83203125" style="886" customWidth="1"/>
    <col min="2" max="2" width="58.33203125" style="886" customWidth="1"/>
    <col min="3" max="3" width="25.6640625" style="886" customWidth="1"/>
    <col min="4" max="4" width="39.33203125" style="886" customWidth="1"/>
    <col min="5" max="6" width="16.1640625" style="886" customWidth="1"/>
    <col min="7" max="7" width="32.33203125" style="886" customWidth="1"/>
    <col min="8" max="12" width="16.1640625" style="886" customWidth="1"/>
    <col min="13" max="16" width="16.1640625" style="887" customWidth="1"/>
    <col min="17" max="17" width="18.5" style="887" customWidth="1"/>
    <col min="18" max="18" width="47" style="887" customWidth="1"/>
    <col min="19" max="19" width="25.5" style="887" customWidth="1"/>
    <col min="20" max="20" width="13.83203125" style="887" customWidth="1"/>
    <col min="21" max="21" width="14.6640625" style="887" customWidth="1"/>
    <col min="22" max="22" width="14.6640625" style="915" customWidth="1"/>
    <col min="23" max="23" width="14.6640625" style="887" customWidth="1"/>
    <col min="24" max="24" width="47" style="887" customWidth="1"/>
    <col min="25" max="25" width="20" style="887" customWidth="1"/>
    <col min="26" max="26" width="13.83203125" style="887" customWidth="1"/>
    <col min="27" max="27" width="14.6640625" style="887" customWidth="1"/>
    <col min="28" max="28" width="13.83203125" style="887" customWidth="1"/>
    <col min="29" max="29" width="47" style="887" customWidth="1"/>
    <col min="30" max="30" width="22.5" style="887" customWidth="1"/>
    <col min="31" max="31" width="13.83203125" style="887" customWidth="1"/>
    <col min="32" max="32" width="14.6640625" style="887" customWidth="1"/>
    <col min="33" max="33" width="11.83203125" style="887" customWidth="1"/>
    <col min="34" max="34" width="47" style="887" customWidth="1"/>
    <col min="35" max="35" width="33.33203125" style="887" customWidth="1"/>
    <col min="36" max="36" width="13.83203125" style="887" customWidth="1"/>
    <col min="37" max="37" width="14.6640625" style="887" customWidth="1"/>
    <col min="38" max="38" width="16.83203125" style="887" customWidth="1"/>
    <col min="39" max="39" width="47" style="887" customWidth="1"/>
    <col min="40" max="40" width="14.83203125" style="887" customWidth="1"/>
    <col min="41" max="41" width="13.83203125" style="887" customWidth="1"/>
    <col min="42" max="42" width="14.6640625" style="887" customWidth="1"/>
    <col min="43" max="43" width="19.5" style="887" customWidth="1"/>
    <col min="44" max="44" width="47" style="887" customWidth="1"/>
    <col min="45" max="45" width="31.5" style="887" customWidth="1"/>
    <col min="46" max="46" width="29" style="887" customWidth="1"/>
    <col min="47" max="48" width="14.6640625" style="887" customWidth="1"/>
    <col min="49" max="49" width="47" style="887" customWidth="1"/>
    <col min="50" max="50" width="22.6640625" style="887" customWidth="1"/>
    <col min="51" max="51" width="13.83203125" style="887" customWidth="1"/>
    <col min="52" max="52" width="14.6640625" style="887" customWidth="1"/>
    <col min="53" max="53" width="21.33203125" style="887" customWidth="1"/>
    <col min="54" max="54" width="47" style="887" customWidth="1"/>
    <col min="55" max="55" width="22.6640625" style="887" customWidth="1"/>
    <col min="56" max="56" width="13.83203125" style="887" customWidth="1"/>
    <col min="57" max="57" width="14.6640625" style="887" customWidth="1"/>
    <col min="58" max="58" width="11.83203125" style="887" customWidth="1"/>
    <col min="59" max="59" width="9.1640625" style="887"/>
    <col min="60" max="60" width="47" style="887" customWidth="1"/>
    <col min="61" max="61" width="23" style="887" customWidth="1"/>
    <col min="62" max="62" width="13.83203125" style="887" customWidth="1"/>
    <col min="63" max="63" width="14.6640625" style="887" customWidth="1"/>
    <col min="64" max="65" width="9.1640625" style="854"/>
    <col min="66" max="66" width="47" style="189" customWidth="1"/>
    <col min="67" max="67" width="23" style="189" customWidth="1"/>
    <col min="68" max="68" width="13.83203125" style="189" customWidth="1"/>
    <col min="69" max="69" width="14.6640625" style="189" customWidth="1"/>
    <col min="70" max="112" width="9.1640625" style="854"/>
    <col min="113" max="113" width="9.1640625" style="189"/>
    <col min="114" max="16384" width="9.1640625" style="886"/>
  </cols>
  <sheetData>
    <row r="1" spans="1:113" ht="54.75" customHeight="1" thickBot="1">
      <c r="A1" s="1039" t="s">
        <v>744</v>
      </c>
      <c r="B1" s="1040" t="s">
        <v>955</v>
      </c>
      <c r="C1" s="1041"/>
      <c r="D1" s="1041"/>
      <c r="E1" s="1041"/>
      <c r="F1" s="1042"/>
      <c r="G1" s="885" t="s">
        <v>953</v>
      </c>
      <c r="R1" s="888" t="s">
        <v>882</v>
      </c>
      <c r="S1" s="889" t="s">
        <v>165</v>
      </c>
      <c r="T1" s="890" t="s">
        <v>883</v>
      </c>
      <c r="U1" s="891">
        <f t="array" ref="U1">SUM(IF($A$1:T1 ="Chemistry", 1, 0))</f>
        <v>1</v>
      </c>
      <c r="V1" s="892"/>
      <c r="X1" s="888" t="s">
        <v>882</v>
      </c>
      <c r="Y1" s="889" t="s">
        <v>636</v>
      </c>
      <c r="Z1" s="890" t="s">
        <v>883</v>
      </c>
      <c r="AA1" s="891">
        <f t="array" ref="AA1">SUM(IF($A$1:Z1 ="Chemistry", 1, 0))</f>
        <v>2</v>
      </c>
      <c r="AC1" s="888" t="s">
        <v>882</v>
      </c>
      <c r="AD1" s="889" t="s">
        <v>384</v>
      </c>
      <c r="AE1" s="890" t="s">
        <v>883</v>
      </c>
      <c r="AF1" s="891">
        <f t="array" ref="AF1">SUM(IF($A$1:AE1 ="Chemistry", 1, 0))</f>
        <v>3</v>
      </c>
      <c r="AH1" s="888" t="s">
        <v>882</v>
      </c>
      <c r="AI1" s="889" t="s">
        <v>166</v>
      </c>
      <c r="AJ1" s="890" t="s">
        <v>883</v>
      </c>
      <c r="AK1" s="891">
        <f t="array" ref="AK1">SUM(IF($A$1:AJ1 ="Chemistry", 1, 0))</f>
        <v>4</v>
      </c>
      <c r="AM1" s="888" t="s">
        <v>882</v>
      </c>
      <c r="AN1" s="889" t="s">
        <v>171</v>
      </c>
      <c r="AO1" s="890" t="s">
        <v>883</v>
      </c>
      <c r="AP1" s="891">
        <f t="array" ref="AP1">SUM(IF($A$1:AO1 ="Chemistry", 1, 0))</f>
        <v>5</v>
      </c>
      <c r="AR1" s="888" t="s">
        <v>882</v>
      </c>
      <c r="AS1" s="889" t="str">
        <f>AU7&amp; "/" &amp; 100*AU8 &amp; "%/" &amp; AU9 &amp; "  - G"</f>
        <v>NMC532/50%/LMO  - G</v>
      </c>
      <c r="AT1" s="890" t="s">
        <v>883</v>
      </c>
      <c r="AU1" s="891">
        <f t="array" ref="AU1">SUM(IF($A$1:AT1 ="Chemistry", 1, 0))</f>
        <v>6</v>
      </c>
      <c r="AW1" s="888" t="s">
        <v>882</v>
      </c>
      <c r="AX1" s="889" t="s">
        <v>748</v>
      </c>
      <c r="AY1" s="890" t="s">
        <v>883</v>
      </c>
      <c r="AZ1" s="891">
        <f t="array" ref="AZ1">SUM(IF($A$1:AY1 ="Chemistry", 1, 0))</f>
        <v>7</v>
      </c>
      <c r="BB1" s="888" t="s">
        <v>882</v>
      </c>
      <c r="BC1" s="889" t="s">
        <v>747</v>
      </c>
      <c r="BD1" s="890" t="s">
        <v>883</v>
      </c>
      <c r="BE1" s="891">
        <f t="array" ref="BE1">SUM(IF($A$1:BD1 ="Chemistry", 1, 0))</f>
        <v>8</v>
      </c>
      <c r="BH1" s="888" t="s">
        <v>882</v>
      </c>
      <c r="BI1" s="889" t="s">
        <v>286</v>
      </c>
      <c r="BJ1" s="890" t="s">
        <v>883</v>
      </c>
      <c r="BK1" s="891">
        <f t="array" ref="BK1">SUM(IF($A$1:BJ1 ="Chemistry", 1, 0))</f>
        <v>9</v>
      </c>
    </row>
    <row r="2" spans="1:113" ht="45" customHeight="1" thickBot="1">
      <c r="A2" s="1043" t="s">
        <v>746</v>
      </c>
      <c r="B2" s="1044" t="s">
        <v>884</v>
      </c>
      <c r="C2" s="1045" t="str">
        <f>Dashboard!D9</f>
        <v>LFP-G</v>
      </c>
      <c r="D2" s="1046" t="s">
        <v>883</v>
      </c>
      <c r="E2" s="1047">
        <f>MATCH(C2, 1:1, 0)</f>
        <v>35</v>
      </c>
      <c r="F2" s="1048"/>
      <c r="G2" s="893" t="s">
        <v>745</v>
      </c>
      <c r="R2" s="894" t="s">
        <v>885</v>
      </c>
      <c r="S2" s="895" t="s">
        <v>1008</v>
      </c>
      <c r="T2" s="896"/>
      <c r="U2" s="897"/>
      <c r="V2" s="898"/>
      <c r="X2" s="894" t="s">
        <v>885</v>
      </c>
      <c r="Y2" s="895" t="s">
        <v>1008</v>
      </c>
      <c r="Z2" s="896"/>
      <c r="AA2" s="897"/>
      <c r="AC2" s="894" t="s">
        <v>885</v>
      </c>
      <c r="AD2" s="895" t="s">
        <v>1008</v>
      </c>
      <c r="AE2" s="896"/>
      <c r="AF2" s="897"/>
      <c r="AH2" s="894" t="s">
        <v>885</v>
      </c>
      <c r="AI2" s="895" t="s">
        <v>1008</v>
      </c>
      <c r="AJ2" s="896"/>
      <c r="AK2" s="897"/>
      <c r="AM2" s="894" t="s">
        <v>885</v>
      </c>
      <c r="AN2" s="895" t="s">
        <v>1008</v>
      </c>
      <c r="AO2" s="896"/>
      <c r="AP2" s="897"/>
      <c r="AR2" s="894" t="s">
        <v>885</v>
      </c>
      <c r="AS2" s="899" t="s">
        <v>1009</v>
      </c>
      <c r="AT2" s="900" t="s">
        <v>1011</v>
      </c>
      <c r="AU2" s="901"/>
      <c r="AW2" s="894" t="s">
        <v>885</v>
      </c>
      <c r="AX2" s="895" t="s">
        <v>1008</v>
      </c>
      <c r="AY2" s="896"/>
      <c r="AZ2" s="897"/>
      <c r="BB2" s="894" t="s">
        <v>885</v>
      </c>
      <c r="BC2" s="895" t="s">
        <v>1008</v>
      </c>
      <c r="BD2" s="896"/>
      <c r="BE2" s="897"/>
      <c r="BH2" s="894" t="s">
        <v>885</v>
      </c>
      <c r="BI2" s="895" t="s">
        <v>1008</v>
      </c>
      <c r="BJ2" s="896"/>
      <c r="BK2" s="897"/>
    </row>
    <row r="3" spans="1:113" ht="45" customHeight="1" thickBot="1">
      <c r="A3" s="1266" t="s">
        <v>983</v>
      </c>
      <c r="B3" s="1049" t="s">
        <v>886</v>
      </c>
      <c r="C3" s="1270" t="str">
        <f>IF(INDEX($3:$3, E2) = "", "", INDEX($3:$3, E2))</f>
        <v/>
      </c>
      <c r="D3" s="1271"/>
      <c r="E3" s="1271"/>
      <c r="F3" s="1272"/>
      <c r="G3" s="1264"/>
      <c r="R3" s="902" t="s">
        <v>886</v>
      </c>
      <c r="S3" s="896"/>
      <c r="T3" s="896"/>
      <c r="U3" s="897"/>
      <c r="V3" s="892"/>
      <c r="X3" s="902" t="s">
        <v>886</v>
      </c>
      <c r="Y3" s="896"/>
      <c r="Z3" s="896"/>
      <c r="AA3" s="897"/>
      <c r="AC3" s="902" t="s">
        <v>886</v>
      </c>
      <c r="AD3" s="896"/>
      <c r="AE3" s="896"/>
      <c r="AF3" s="897"/>
      <c r="AH3" s="902" t="s">
        <v>886</v>
      </c>
      <c r="AI3" s="896"/>
      <c r="AJ3" s="896"/>
      <c r="AK3" s="897"/>
      <c r="AM3" s="902" t="s">
        <v>886</v>
      </c>
      <c r="AN3" s="896"/>
      <c r="AO3" s="896"/>
      <c r="AP3" s="897"/>
      <c r="AR3" s="902" t="s">
        <v>886</v>
      </c>
      <c r="AS3" s="903" t="s">
        <v>1098</v>
      </c>
      <c r="AT3" s="896"/>
      <c r="AU3" s="897"/>
      <c r="AW3" s="902" t="s">
        <v>886</v>
      </c>
      <c r="AX3" s="896"/>
      <c r="AY3" s="896"/>
      <c r="AZ3" s="897"/>
      <c r="BB3" s="902" t="s">
        <v>886</v>
      </c>
      <c r="BC3" s="896"/>
      <c r="BD3" s="896"/>
      <c r="BE3" s="897"/>
      <c r="BH3" s="902" t="s">
        <v>886</v>
      </c>
      <c r="BI3" s="896"/>
      <c r="BJ3" s="896"/>
      <c r="BK3" s="897"/>
    </row>
    <row r="4" spans="1:113" ht="45" customHeight="1" thickBot="1">
      <c r="A4" s="1267"/>
      <c r="B4" s="1050" t="s">
        <v>887</v>
      </c>
      <c r="C4" s="1051" t="s">
        <v>888</v>
      </c>
      <c r="D4" s="1051" t="s">
        <v>914</v>
      </c>
      <c r="E4" s="1051" t="s">
        <v>170</v>
      </c>
      <c r="F4" s="1051" t="s">
        <v>885</v>
      </c>
      <c r="G4" s="1265"/>
      <c r="R4" s="904" t="s">
        <v>887</v>
      </c>
      <c r="S4" s="905" t="s">
        <v>889</v>
      </c>
      <c r="T4" s="1262" t="s">
        <v>885</v>
      </c>
      <c r="U4" s="1263"/>
      <c r="V4" s="906"/>
      <c r="X4" s="904" t="s">
        <v>887</v>
      </c>
      <c r="Y4" s="905" t="s">
        <v>889</v>
      </c>
      <c r="Z4" s="1262" t="s">
        <v>885</v>
      </c>
      <c r="AA4" s="1263"/>
      <c r="AC4" s="904" t="s">
        <v>887</v>
      </c>
      <c r="AD4" s="905" t="s">
        <v>889</v>
      </c>
      <c r="AE4" s="1262" t="s">
        <v>885</v>
      </c>
      <c r="AF4" s="1263"/>
      <c r="AH4" s="904" t="s">
        <v>887</v>
      </c>
      <c r="AI4" s="905" t="s">
        <v>889</v>
      </c>
      <c r="AJ4" s="1262" t="s">
        <v>885</v>
      </c>
      <c r="AK4" s="1263"/>
      <c r="AM4" s="904" t="s">
        <v>887</v>
      </c>
      <c r="AN4" s="905" t="s">
        <v>889</v>
      </c>
      <c r="AO4" s="1262" t="s">
        <v>885</v>
      </c>
      <c r="AP4" s="1263"/>
      <c r="AR4" s="904" t="s">
        <v>887</v>
      </c>
      <c r="AS4" s="905" t="s">
        <v>889</v>
      </c>
      <c r="AT4" s="1268" t="s">
        <v>885</v>
      </c>
      <c r="AU4" s="1269"/>
      <c r="AW4" s="904" t="s">
        <v>887</v>
      </c>
      <c r="AX4" s="905" t="s">
        <v>889</v>
      </c>
      <c r="AY4" s="1262" t="s">
        <v>885</v>
      </c>
      <c r="AZ4" s="1263"/>
      <c r="BB4" s="904" t="s">
        <v>887</v>
      </c>
      <c r="BC4" s="905" t="s">
        <v>889</v>
      </c>
      <c r="BD4" s="1262" t="s">
        <v>885</v>
      </c>
      <c r="BE4" s="1263"/>
      <c r="BH4" s="904" t="s">
        <v>887</v>
      </c>
      <c r="BI4" s="905" t="s">
        <v>889</v>
      </c>
      <c r="BJ4" s="1262" t="s">
        <v>885</v>
      </c>
      <c r="BK4" s="1263"/>
    </row>
    <row r="5" spans="1:113" ht="23.25" customHeight="1" thickBot="1">
      <c r="A5" s="907" t="s">
        <v>991</v>
      </c>
      <c r="B5" s="575" t="s">
        <v>952</v>
      </c>
      <c r="C5" s="908" t="str">
        <f>IFERROR(IF(E5="",INDEX(Lists!$O$19:$O$40,MATCH(C6,Lists!$K$19:$K$40,0))&amp;" / "&amp;INDEX(Lists!$O$19:$O$40,MATCH(C29,Lists!$K$19:$K$40,0)),E5),C6&amp;" - "&amp;C29)</f>
        <v>LiFePO4 / Graphite</v>
      </c>
      <c r="D5" s="909"/>
      <c r="E5" s="910"/>
      <c r="F5" s="911"/>
      <c r="G5" s="912"/>
      <c r="I5" s="913"/>
      <c r="R5" s="914"/>
      <c r="S5" s="915"/>
      <c r="T5" s="915"/>
      <c r="U5" s="916"/>
      <c r="X5" s="914"/>
      <c r="Y5" s="915"/>
      <c r="Z5" s="915"/>
      <c r="AA5" s="916"/>
      <c r="AC5" s="914"/>
      <c r="AD5" s="915"/>
      <c r="AE5" s="915"/>
      <c r="AF5" s="916"/>
      <c r="AH5" s="914"/>
      <c r="AI5" s="915"/>
      <c r="AJ5" s="915"/>
      <c r="AK5" s="916"/>
      <c r="AM5" s="914"/>
      <c r="AN5" s="915"/>
      <c r="AO5" s="915"/>
      <c r="AP5" s="916"/>
      <c r="AR5" s="914"/>
      <c r="AS5" s="915"/>
      <c r="AT5" s="917"/>
      <c r="AU5" s="918"/>
      <c r="AW5" s="914"/>
      <c r="AX5" s="915"/>
      <c r="AY5" s="915"/>
      <c r="AZ5" s="916"/>
      <c r="BB5" s="914"/>
      <c r="BC5" s="915"/>
      <c r="BD5" s="915"/>
      <c r="BE5" s="916"/>
      <c r="BH5" s="914"/>
      <c r="BI5" s="915"/>
      <c r="BJ5" s="915"/>
      <c r="BK5" s="916"/>
    </row>
    <row r="6" spans="1:113" ht="18" customHeight="1" thickBot="1">
      <c r="A6" s="907"/>
      <c r="B6" s="575" t="s">
        <v>1102</v>
      </c>
      <c r="C6" s="919" t="str">
        <f>IF(AND(D6="",E6=""),"",IF(E6="",D6,E6))</f>
        <v>LFP</v>
      </c>
      <c r="D6" s="920" t="str">
        <f t="shared" ref="D6:D13" si="0">IF(INDEX(6:6,$E$2)="","", INDEX(6:6, $E$2))</f>
        <v>LFP</v>
      </c>
      <c r="E6" s="921"/>
      <c r="F6" s="922"/>
      <c r="G6" s="189"/>
      <c r="R6" s="923" t="s">
        <v>5</v>
      </c>
      <c r="S6" s="924" t="s">
        <v>903</v>
      </c>
      <c r="T6" s="925"/>
      <c r="U6" s="926"/>
      <c r="V6" s="927"/>
      <c r="X6" s="923" t="s">
        <v>5</v>
      </c>
      <c r="Y6" s="924" t="s">
        <v>850</v>
      </c>
      <c r="Z6" s="925"/>
      <c r="AA6" s="926"/>
      <c r="AC6" s="923" t="s">
        <v>5</v>
      </c>
      <c r="AD6" s="924" t="s">
        <v>851</v>
      </c>
      <c r="AE6" s="925"/>
      <c r="AF6" s="926"/>
      <c r="AH6" s="923" t="s">
        <v>5</v>
      </c>
      <c r="AI6" s="924" t="s">
        <v>904</v>
      </c>
      <c r="AJ6" s="925"/>
      <c r="AK6" s="926"/>
      <c r="AM6" s="923" t="s">
        <v>5</v>
      </c>
      <c r="AN6" s="924" t="s">
        <v>905</v>
      </c>
      <c r="AO6" s="925"/>
      <c r="AP6" s="926"/>
      <c r="AR6" s="923" t="s">
        <v>5</v>
      </c>
      <c r="AS6" s="924" t="str">
        <f>AU7&amp;"/"&amp;100*AU8&amp;"%/"&amp;AU9&amp;"/"&amp;(1-AU8)*100&amp; "%"</f>
        <v>NMC532/50%/LMO/50%</v>
      </c>
      <c r="AT6" s="928" t="s">
        <v>1010</v>
      </c>
      <c r="AU6" s="929"/>
      <c r="AW6" s="923" t="s">
        <v>5</v>
      </c>
      <c r="AX6" s="924" t="s">
        <v>902</v>
      </c>
      <c r="AY6" s="925"/>
      <c r="AZ6" s="926"/>
      <c r="BB6" s="923" t="s">
        <v>5</v>
      </c>
      <c r="BC6" s="924" t="s">
        <v>901</v>
      </c>
      <c r="BD6" s="925"/>
      <c r="BE6" s="926"/>
      <c r="BH6" s="923" t="s">
        <v>5</v>
      </c>
      <c r="BI6" s="924" t="s">
        <v>905</v>
      </c>
      <c r="BJ6" s="925"/>
      <c r="BK6" s="926"/>
    </row>
    <row r="7" spans="1:113">
      <c r="A7" s="907"/>
      <c r="B7" s="930" t="s">
        <v>1103</v>
      </c>
      <c r="C7" s="919">
        <f>IF(AND(D7="",E7=""),"",IF(E7="",D7,E7))</f>
        <v>157.76</v>
      </c>
      <c r="D7" s="920">
        <f t="shared" si="0"/>
        <v>157.76</v>
      </c>
      <c r="E7" s="921"/>
      <c r="F7" s="922"/>
      <c r="G7" s="189"/>
      <c r="H7" s="931"/>
      <c r="I7" s="931"/>
      <c r="J7" s="931"/>
      <c r="K7" s="931"/>
      <c r="L7" s="931"/>
      <c r="M7" s="932"/>
      <c r="N7" s="932"/>
      <c r="O7" s="932"/>
      <c r="P7" s="932"/>
      <c r="R7" s="914" t="s">
        <v>637</v>
      </c>
      <c r="S7" s="933">
        <f>INDEX(Lists!$L$19:$L$50, MATCH(S6, Lists!$K$19:$K$50, 0))</f>
        <v>96.096500000000006</v>
      </c>
      <c r="T7" s="927"/>
      <c r="U7" s="934"/>
      <c r="V7" s="927"/>
      <c r="X7" s="914" t="s">
        <v>637</v>
      </c>
      <c r="Y7" s="933">
        <f>INDEX(Lists!$L$19:$L$50, MATCH(Y6, Lists!$K$19:$K$50, 0))</f>
        <v>94.387</v>
      </c>
      <c r="Z7" s="927"/>
      <c r="AA7" s="934"/>
      <c r="AC7" s="914" t="s">
        <v>637</v>
      </c>
      <c r="AD7" s="933">
        <f>INDEX(Lists!$L$19:$L$50, MATCH(AD6, Lists!$K$19:$K$50, 0))</f>
        <v>93.882683</v>
      </c>
      <c r="AE7" s="927"/>
      <c r="AF7" s="934"/>
      <c r="AH7" s="914" t="s">
        <v>637</v>
      </c>
      <c r="AI7" s="933">
        <f>INDEX(Lists!$L$19:$L$50, MATCH(AI6, Lists!$K$19:$K$50, 0))</f>
        <v>157.76</v>
      </c>
      <c r="AJ7" s="927"/>
      <c r="AK7" s="934"/>
      <c r="AM7" s="914" t="s">
        <v>637</v>
      </c>
      <c r="AN7" s="933">
        <f>INDEX(Lists!$L$19:$L$50, MATCH(AN6, Lists!$K$19:$K$50, 0))</f>
        <v>176.01999999999998</v>
      </c>
      <c r="AO7" s="927"/>
      <c r="AP7" s="934"/>
      <c r="AR7" s="914" t="s">
        <v>637</v>
      </c>
      <c r="AS7" s="933">
        <f>INDEX(Lists!$L$19:$L$50,MATCH(AU7,Lists!$K$19:$K$50,0))* AU8 + INDEX(Lists!$L$19:$L$50,MATCH(AU9,Lists!$K$19:$K$50,0))*(1-AU8)</f>
        <v>135.02442500000001</v>
      </c>
      <c r="AT7" s="935" t="s">
        <v>1099</v>
      </c>
      <c r="AU7" s="936" t="s">
        <v>901</v>
      </c>
      <c r="AW7" s="914" t="s">
        <v>637</v>
      </c>
      <c r="AX7" s="933">
        <f>INDEX(Lists!$L$19:$L$50, MATCH(AX6, Lists!$K$19:$K$50, 0))</f>
        <v>94.724249999999998</v>
      </c>
      <c r="AY7" s="927"/>
      <c r="AZ7" s="934"/>
      <c r="BB7" s="914" t="s">
        <v>637</v>
      </c>
      <c r="BC7" s="933">
        <f>INDEX(Lists!$L$19:$L$50, MATCH(BC6, Lists!$K$19:$K$50, 0))</f>
        <v>94.028850000000006</v>
      </c>
      <c r="BD7" s="927"/>
      <c r="BE7" s="934"/>
      <c r="BH7" s="914" t="s">
        <v>637</v>
      </c>
      <c r="BI7" s="933">
        <f>INDEX(Lists!$L$19:$L$50, MATCH(BI6, Lists!$K$19:$K$50, 0))</f>
        <v>176.01999999999998</v>
      </c>
      <c r="BJ7" s="927"/>
      <c r="BK7" s="934"/>
      <c r="BL7" s="887"/>
      <c r="BM7" s="887"/>
      <c r="BR7" s="887"/>
      <c r="BS7" s="887"/>
      <c r="BT7" s="887"/>
      <c r="BU7" s="887"/>
      <c r="BV7" s="887"/>
      <c r="BW7" s="887"/>
      <c r="BX7" s="887"/>
      <c r="BY7" s="887"/>
      <c r="BZ7" s="887"/>
      <c r="CA7" s="887"/>
      <c r="CB7" s="887"/>
      <c r="CC7" s="887"/>
      <c r="CD7" s="887"/>
      <c r="CE7" s="887"/>
      <c r="CF7" s="887"/>
      <c r="CG7" s="887"/>
      <c r="CH7" s="887"/>
      <c r="CI7" s="887"/>
      <c r="CJ7" s="887"/>
      <c r="CK7" s="887"/>
      <c r="CL7" s="887"/>
      <c r="CM7" s="887"/>
      <c r="CN7" s="887"/>
      <c r="CO7" s="887"/>
      <c r="CP7" s="887"/>
      <c r="CQ7" s="887"/>
      <c r="CR7" s="887"/>
      <c r="CS7" s="887"/>
      <c r="CT7" s="887"/>
      <c r="CU7" s="887"/>
      <c r="CV7" s="887"/>
      <c r="CW7" s="887"/>
      <c r="CX7" s="887"/>
      <c r="CY7" s="887"/>
      <c r="CZ7" s="887"/>
      <c r="DA7" s="887"/>
      <c r="DB7" s="887"/>
      <c r="DC7" s="887"/>
      <c r="DD7" s="887"/>
      <c r="DE7" s="887"/>
      <c r="DF7" s="887"/>
      <c r="DG7" s="887"/>
      <c r="DH7" s="887"/>
      <c r="DI7" s="886"/>
    </row>
    <row r="8" spans="1:113">
      <c r="A8" s="907"/>
      <c r="B8" s="930" t="s">
        <v>1104</v>
      </c>
      <c r="C8" s="919">
        <f>IF(SUM(C10:C12) = 100, IF(NOT(Dashboard!E11 = ""), Dashboard!E11,  IF(AND(D8="",E8=""),"",IF(E8="",D8,E8))), NA())</f>
        <v>150</v>
      </c>
      <c r="D8" s="920">
        <f t="shared" si="0"/>
        <v>150</v>
      </c>
      <c r="E8" s="921"/>
      <c r="F8" s="922"/>
      <c r="G8" s="189"/>
      <c r="R8" s="914" t="s">
        <v>164</v>
      </c>
      <c r="S8" s="937">
        <f>INDEX(Lists!$M$19:$M$50, MATCH(S6, Lists!$K$19:$K$50, 0))</f>
        <v>200</v>
      </c>
      <c r="T8" s="927"/>
      <c r="U8" s="934"/>
      <c r="V8" s="927"/>
      <c r="X8" s="914" t="s">
        <v>164</v>
      </c>
      <c r="Y8" s="937">
        <f>INDEX(Lists!$M$19:$M$50, MATCH(Y6, Lists!$K$19:$K$50, 0))</f>
        <v>180</v>
      </c>
      <c r="Z8" s="927"/>
      <c r="AA8" s="934"/>
      <c r="AC8" s="914" t="s">
        <v>164</v>
      </c>
      <c r="AD8" s="937">
        <f>INDEX(Lists!$M$19:$M$50, MATCH(AD6, Lists!$K$19:$K$50, 0))</f>
        <v>155</v>
      </c>
      <c r="AE8" s="927"/>
      <c r="AF8" s="934"/>
      <c r="AH8" s="914" t="s">
        <v>164</v>
      </c>
      <c r="AI8" s="937">
        <f>INDEX(Lists!$M$19:$M$50, MATCH(AI6, Lists!$K$19:$K$50, 0))</f>
        <v>150</v>
      </c>
      <c r="AJ8" s="927"/>
      <c r="AK8" s="934"/>
      <c r="AM8" s="914" t="s">
        <v>164</v>
      </c>
      <c r="AN8" s="937">
        <f>INDEX(Lists!$M$19:$M$50, MATCH(AN6, Lists!$K$19:$K$50, 0))</f>
        <v>108</v>
      </c>
      <c r="AO8" s="927"/>
      <c r="AP8" s="934"/>
      <c r="AR8" s="914" t="s">
        <v>164</v>
      </c>
      <c r="AS8" s="937">
        <f>INDEX(Lists!$M$19:$M$50,MATCH(AU7,Lists!$K$19:$K$50,0))* AU8 + INDEX(Lists!$M$19:$M$50,MATCH(AU9,Lists!$K$19:$K$50,0))*(1-AU8)</f>
        <v>134.5</v>
      </c>
      <c r="AT8" s="935" t="s">
        <v>1100</v>
      </c>
      <c r="AU8" s="938">
        <v>0.5</v>
      </c>
      <c r="AW8" s="914" t="s">
        <v>164</v>
      </c>
      <c r="AX8" s="937">
        <f>INDEX(Lists!$M$19:$M$50, MATCH(AX6, Lists!$K$19:$K$50, 0))</f>
        <v>212</v>
      </c>
      <c r="AY8" s="927"/>
      <c r="AZ8" s="934"/>
      <c r="BB8" s="914" t="s">
        <v>164</v>
      </c>
      <c r="BC8" s="937">
        <f>INDEX(Lists!$M$19:$M$50, MATCH(BC6, Lists!$K$19:$K$50, 0))</f>
        <v>161</v>
      </c>
      <c r="BD8" s="927"/>
      <c r="BE8" s="934"/>
      <c r="BH8" s="914" t="s">
        <v>164</v>
      </c>
      <c r="BI8" s="937">
        <f>INDEX(Lists!$M$19:$M$50, MATCH(BI6, Lists!$K$19:$K$50, 0))</f>
        <v>108</v>
      </c>
      <c r="BJ8" s="927"/>
      <c r="BK8" s="934"/>
    </row>
    <row r="9" spans="1:113" ht="15" thickBot="1">
      <c r="A9" s="907"/>
      <c r="B9" s="954" t="s">
        <v>1263</v>
      </c>
      <c r="C9" s="919"/>
      <c r="D9" s="919" t="str">
        <f>IF(ISERROR(C8)," Sum of % must add to 100", "")</f>
        <v/>
      </c>
      <c r="E9" s="921"/>
      <c r="F9" s="922"/>
      <c r="G9" s="189"/>
      <c r="R9" s="939" t="s">
        <v>8</v>
      </c>
      <c r="S9" s="940"/>
      <c r="T9" s="927"/>
      <c r="U9" s="934"/>
      <c r="V9" s="927"/>
      <c r="X9" s="939" t="s">
        <v>8</v>
      </c>
      <c r="Y9" s="940"/>
      <c r="Z9" s="927"/>
      <c r="AA9" s="934"/>
      <c r="AC9" s="939" t="s">
        <v>8</v>
      </c>
      <c r="AD9" s="940"/>
      <c r="AE9" s="927"/>
      <c r="AF9" s="934"/>
      <c r="AH9" s="939" t="s">
        <v>8</v>
      </c>
      <c r="AI9" s="940"/>
      <c r="AJ9" s="927"/>
      <c r="AK9" s="934"/>
      <c r="AM9" s="939" t="s">
        <v>8</v>
      </c>
      <c r="AN9" s="940"/>
      <c r="AO9" s="927"/>
      <c r="AP9" s="934"/>
      <c r="AR9" s="939" t="s">
        <v>8</v>
      </c>
      <c r="AS9" s="940"/>
      <c r="AT9" s="941" t="s">
        <v>1101</v>
      </c>
      <c r="AU9" s="942" t="s">
        <v>905</v>
      </c>
      <c r="AW9" s="939" t="s">
        <v>8</v>
      </c>
      <c r="AX9" s="940"/>
      <c r="AY9" s="927"/>
      <c r="AZ9" s="934"/>
      <c r="BB9" s="939" t="s">
        <v>8</v>
      </c>
      <c r="BC9" s="940"/>
      <c r="BD9" s="927"/>
      <c r="BE9" s="934"/>
      <c r="BH9" s="939" t="s">
        <v>8</v>
      </c>
      <c r="BI9" s="940"/>
      <c r="BJ9" s="927"/>
      <c r="BK9" s="934"/>
    </row>
    <row r="10" spans="1:113">
      <c r="A10" s="907" t="s">
        <v>991</v>
      </c>
      <c r="B10" s="943" t="s">
        <v>1341</v>
      </c>
      <c r="C10" s="919">
        <f>IF(AND(D10="",E10=""),"",IF(E10="",D10,E10))</f>
        <v>96</v>
      </c>
      <c r="D10" s="944">
        <f t="shared" si="0"/>
        <v>96</v>
      </c>
      <c r="E10" s="921"/>
      <c r="F10" s="945"/>
      <c r="G10" s="189"/>
      <c r="R10" s="946" t="s">
        <v>6</v>
      </c>
      <c r="S10" s="937">
        <v>96</v>
      </c>
      <c r="T10" s="927"/>
      <c r="U10" s="947"/>
      <c r="V10" s="948"/>
      <c r="X10" s="946" t="s">
        <v>6</v>
      </c>
      <c r="Y10" s="937">
        <v>96</v>
      </c>
      <c r="Z10" s="927"/>
      <c r="AA10" s="947"/>
      <c r="AC10" s="946" t="s">
        <v>6</v>
      </c>
      <c r="AD10" s="937">
        <v>96</v>
      </c>
      <c r="AE10" s="927"/>
      <c r="AF10" s="947"/>
      <c r="AH10" s="946" t="s">
        <v>6</v>
      </c>
      <c r="AI10" s="937">
        <v>96</v>
      </c>
      <c r="AJ10" s="927"/>
      <c r="AK10" s="947"/>
      <c r="AM10" s="946" t="s">
        <v>6</v>
      </c>
      <c r="AN10" s="937">
        <v>96</v>
      </c>
      <c r="AO10" s="927"/>
      <c r="AP10" s="947"/>
      <c r="AR10" s="946" t="s">
        <v>6</v>
      </c>
      <c r="AS10" s="937">
        <f>INDEX(R10:FB10, MATCH($AU$7, $R$6:$FB$6, 0))*$AU$8 + INDEX(R10:FB10, MATCH($AU$9, $R$6:$FB$6, 0))*(1-$AU$8)</f>
        <v>96</v>
      </c>
      <c r="AT10" s="927"/>
      <c r="AU10" s="947"/>
      <c r="AW10" s="946" t="s">
        <v>6</v>
      </c>
      <c r="AX10" s="937">
        <v>90</v>
      </c>
      <c r="AY10" s="927"/>
      <c r="AZ10" s="947"/>
      <c r="BB10" s="946" t="s">
        <v>6</v>
      </c>
      <c r="BC10" s="937">
        <v>96</v>
      </c>
      <c r="BD10" s="927"/>
      <c r="BE10" s="947"/>
      <c r="BH10" s="946" t="s">
        <v>6</v>
      </c>
      <c r="BI10" s="937">
        <v>96</v>
      </c>
      <c r="BJ10" s="927"/>
      <c r="BK10" s="947"/>
    </row>
    <row r="11" spans="1:113">
      <c r="A11" s="907"/>
      <c r="B11" s="943" t="s">
        <v>1105</v>
      </c>
      <c r="C11" s="919">
        <f>IF(AND(D11="",E11=""),"",IF(E11="",D11,E11))</f>
        <v>2</v>
      </c>
      <c r="D11" s="944">
        <f t="shared" si="0"/>
        <v>2</v>
      </c>
      <c r="E11" s="921"/>
      <c r="F11" s="945"/>
      <c r="G11" s="189"/>
      <c r="R11" s="946" t="s">
        <v>10</v>
      </c>
      <c r="S11" s="937">
        <v>2</v>
      </c>
      <c r="T11" s="927"/>
      <c r="U11" s="947"/>
      <c r="V11" s="948"/>
      <c r="X11" s="946" t="s">
        <v>10</v>
      </c>
      <c r="Y11" s="937">
        <v>2</v>
      </c>
      <c r="Z11" s="927"/>
      <c r="AA11" s="947"/>
      <c r="AC11" s="946" t="s">
        <v>10</v>
      </c>
      <c r="AD11" s="937">
        <v>2</v>
      </c>
      <c r="AE11" s="927"/>
      <c r="AF11" s="947"/>
      <c r="AH11" s="946" t="s">
        <v>10</v>
      </c>
      <c r="AI11" s="937">
        <v>2</v>
      </c>
      <c r="AJ11" s="927"/>
      <c r="AK11" s="947"/>
      <c r="AM11" s="946" t="s">
        <v>10</v>
      </c>
      <c r="AN11" s="937">
        <v>2</v>
      </c>
      <c r="AO11" s="927"/>
      <c r="AP11" s="947"/>
      <c r="AR11" s="946" t="s">
        <v>10</v>
      </c>
      <c r="AS11" s="937">
        <f>INDEX(R11:FB11, MATCH($AU$7, $R$6:$FB$6, 0))*$AU$8 + INDEX(R11:FB11, MATCH($AU$9, $R$6:$FB$6, 0))*(1-$AU$8)</f>
        <v>2</v>
      </c>
      <c r="AT11" s="927"/>
      <c r="AU11" s="947"/>
      <c r="AW11" s="946" t="s">
        <v>10</v>
      </c>
      <c r="AX11" s="937">
        <v>5</v>
      </c>
      <c r="AY11" s="927"/>
      <c r="AZ11" s="947"/>
      <c r="BB11" s="946" t="s">
        <v>10</v>
      </c>
      <c r="BC11" s="937">
        <v>2</v>
      </c>
      <c r="BD11" s="927"/>
      <c r="BE11" s="947"/>
      <c r="BH11" s="946" t="s">
        <v>10</v>
      </c>
      <c r="BI11" s="937">
        <v>2</v>
      </c>
      <c r="BJ11" s="927"/>
      <c r="BK11" s="947"/>
    </row>
    <row r="12" spans="1:113">
      <c r="A12" s="907"/>
      <c r="B12" s="949" t="s">
        <v>1106</v>
      </c>
      <c r="C12" s="919">
        <f>IF(AND(D12="",E12=""),"",IF(E12="",D12,E12))</f>
        <v>2</v>
      </c>
      <c r="D12" s="944">
        <f t="shared" si="0"/>
        <v>2</v>
      </c>
      <c r="E12" s="921"/>
      <c r="F12" s="945"/>
      <c r="G12" s="912"/>
      <c r="R12" s="935" t="s">
        <v>11</v>
      </c>
      <c r="S12" s="937">
        <v>2</v>
      </c>
      <c r="T12" s="927"/>
      <c r="U12" s="947"/>
      <c r="V12" s="948"/>
      <c r="X12" s="935" t="s">
        <v>11</v>
      </c>
      <c r="Y12" s="937">
        <v>2</v>
      </c>
      <c r="Z12" s="927"/>
      <c r="AA12" s="947"/>
      <c r="AC12" s="935" t="s">
        <v>11</v>
      </c>
      <c r="AD12" s="937">
        <v>2</v>
      </c>
      <c r="AE12" s="927"/>
      <c r="AF12" s="947"/>
      <c r="AH12" s="935" t="s">
        <v>11</v>
      </c>
      <c r="AI12" s="937">
        <v>2</v>
      </c>
      <c r="AJ12" s="927"/>
      <c r="AK12" s="947"/>
      <c r="AM12" s="935" t="s">
        <v>11</v>
      </c>
      <c r="AN12" s="937">
        <v>2</v>
      </c>
      <c r="AO12" s="927"/>
      <c r="AP12" s="947"/>
      <c r="AR12" s="935" t="s">
        <v>11</v>
      </c>
      <c r="AS12" s="937">
        <f>INDEX(R12:FB12, MATCH($AU$7, $R$6:$FB$6, 0))*$AU$8 + INDEX(R12:FB12, MATCH($AU$9, $R$6:$FB$6, 0))*(1-$AU$8)</f>
        <v>2</v>
      </c>
      <c r="AT12" s="927"/>
      <c r="AU12" s="947"/>
      <c r="AW12" s="935" t="s">
        <v>11</v>
      </c>
      <c r="AX12" s="937">
        <v>5</v>
      </c>
      <c r="AY12" s="927"/>
      <c r="AZ12" s="947"/>
      <c r="BB12" s="935" t="s">
        <v>11</v>
      </c>
      <c r="BC12" s="937">
        <v>2</v>
      </c>
      <c r="BD12" s="927"/>
      <c r="BE12" s="947"/>
      <c r="BH12" s="935" t="s">
        <v>11</v>
      </c>
      <c r="BI12" s="937">
        <v>2</v>
      </c>
      <c r="BJ12" s="927"/>
      <c r="BK12" s="947"/>
    </row>
    <row r="13" spans="1:113">
      <c r="A13" s="907"/>
      <c r="B13" s="949" t="s">
        <v>1107</v>
      </c>
      <c r="C13" s="919" t="str">
        <f>IF(AND(D13="",E13=""),"",IF(E13="",D13,E13))</f>
        <v>NMP</v>
      </c>
      <c r="D13" s="920" t="str">
        <f t="shared" si="0"/>
        <v>NMP</v>
      </c>
      <c r="E13" s="921"/>
      <c r="F13" s="922"/>
      <c r="G13" s="912"/>
      <c r="R13" s="939" t="s">
        <v>228</v>
      </c>
      <c r="S13" s="937" t="s">
        <v>229</v>
      </c>
      <c r="T13" s="927"/>
      <c r="U13" s="934"/>
      <c r="V13" s="927"/>
      <c r="X13" s="939" t="s">
        <v>228</v>
      </c>
      <c r="Y13" s="937" t="s">
        <v>229</v>
      </c>
      <c r="Z13" s="927"/>
      <c r="AA13" s="934"/>
      <c r="AC13" s="939" t="s">
        <v>228</v>
      </c>
      <c r="AD13" s="937" t="s">
        <v>229</v>
      </c>
      <c r="AE13" s="927"/>
      <c r="AF13" s="934"/>
      <c r="AH13" s="939" t="s">
        <v>228</v>
      </c>
      <c r="AI13" s="937" t="s">
        <v>229</v>
      </c>
      <c r="AJ13" s="927"/>
      <c r="AK13" s="934"/>
      <c r="AM13" s="939" t="s">
        <v>228</v>
      </c>
      <c r="AN13" s="937" t="s">
        <v>229</v>
      </c>
      <c r="AO13" s="927"/>
      <c r="AP13" s="934"/>
      <c r="AR13" s="939" t="s">
        <v>228</v>
      </c>
      <c r="AS13" s="937" t="s">
        <v>229</v>
      </c>
      <c r="AT13" s="927"/>
      <c r="AU13" s="934"/>
      <c r="AW13" s="939" t="s">
        <v>228</v>
      </c>
      <c r="AX13" s="937" t="s">
        <v>229</v>
      </c>
      <c r="AY13" s="927"/>
      <c r="AZ13" s="934"/>
      <c r="BB13" s="939" t="s">
        <v>228</v>
      </c>
      <c r="BC13" s="937"/>
      <c r="BD13" s="927"/>
      <c r="BE13" s="934"/>
      <c r="BH13" s="939" t="s">
        <v>228</v>
      </c>
      <c r="BI13" s="937" t="s">
        <v>229</v>
      </c>
      <c r="BJ13" s="927"/>
      <c r="BK13" s="934"/>
    </row>
    <row r="14" spans="1:113">
      <c r="A14" s="907"/>
      <c r="B14" s="949" t="s">
        <v>1342</v>
      </c>
      <c r="C14" s="919">
        <f>IF(NOT(Dashboard!E12=""),Dashboard!E12,IF(AND(D14="",E14=""),"",IF(E14="",D14,E14)))</f>
        <v>25</v>
      </c>
      <c r="D14" s="920">
        <f>IF(INDEX(14:14,$E$2)="","", IF(OR(Dashboard!$E$28="HEV-HP",Dashboard!$E$28="PHEV"), 1.4*INDEX(14:14, $E$2), INDEX(14:14, $E$2)))</f>
        <v>25</v>
      </c>
      <c r="E14" s="921"/>
      <c r="F14" s="950"/>
      <c r="G14" s="912"/>
      <c r="R14" s="939" t="s">
        <v>265</v>
      </c>
      <c r="S14" s="951">
        <v>25</v>
      </c>
      <c r="T14" s="927"/>
      <c r="U14" s="952"/>
      <c r="V14" s="953"/>
      <c r="X14" s="939" t="s">
        <v>265</v>
      </c>
      <c r="Y14" s="951">
        <v>25</v>
      </c>
      <c r="Z14" s="927"/>
      <c r="AA14" s="952"/>
      <c r="AC14" s="939" t="s">
        <v>265</v>
      </c>
      <c r="AD14" s="951">
        <v>25</v>
      </c>
      <c r="AE14" s="927"/>
      <c r="AF14" s="952"/>
      <c r="AH14" s="939" t="s">
        <v>265</v>
      </c>
      <c r="AI14" s="951">
        <v>25</v>
      </c>
      <c r="AJ14" s="927"/>
      <c r="AK14" s="952"/>
      <c r="AM14" s="939" t="s">
        <v>265</v>
      </c>
      <c r="AN14" s="951">
        <v>25</v>
      </c>
      <c r="AO14" s="927"/>
      <c r="AP14" s="952"/>
      <c r="AR14" s="939" t="s">
        <v>265</v>
      </c>
      <c r="AS14" s="937">
        <f>INDEX(R14:FB14, MATCH($AU$7, $R$6:$FB$6, 0))*$AU$8 + INDEX(R14:FB14, MATCH($AU$9, $R$6:$FB$6, 0))*(1-$AU$8)</f>
        <v>25</v>
      </c>
      <c r="AT14" s="927"/>
      <c r="AU14" s="952"/>
      <c r="AW14" s="939" t="s">
        <v>265</v>
      </c>
      <c r="AX14" s="951">
        <v>25</v>
      </c>
      <c r="AY14" s="927"/>
      <c r="AZ14" s="952"/>
      <c r="BB14" s="939" t="s">
        <v>265</v>
      </c>
      <c r="BC14" s="951">
        <v>25</v>
      </c>
      <c r="BD14" s="927"/>
      <c r="BE14" s="952"/>
      <c r="BH14" s="939" t="s">
        <v>265</v>
      </c>
      <c r="BI14" s="951">
        <v>25</v>
      </c>
      <c r="BJ14" s="927"/>
      <c r="BK14" s="952"/>
    </row>
    <row r="15" spans="1:113" ht="15">
      <c r="A15" s="907"/>
      <c r="B15" s="954" t="s">
        <v>1343</v>
      </c>
      <c r="C15" s="919"/>
      <c r="D15" s="920"/>
      <c r="E15" s="921"/>
      <c r="F15" s="950"/>
      <c r="G15" s="912"/>
      <c r="R15" s="939" t="s">
        <v>1344</v>
      </c>
      <c r="S15" s="955"/>
      <c r="T15" s="927"/>
      <c r="U15" s="952"/>
      <c r="V15" s="953"/>
      <c r="X15" s="939" t="s">
        <v>1344</v>
      </c>
      <c r="Y15" s="955"/>
      <c r="Z15" s="927"/>
      <c r="AA15" s="952"/>
      <c r="AC15" s="939" t="s">
        <v>1344</v>
      </c>
      <c r="AD15" s="955"/>
      <c r="AE15" s="927"/>
      <c r="AF15" s="952"/>
      <c r="AH15" s="939" t="s">
        <v>1344</v>
      </c>
      <c r="AI15" s="955"/>
      <c r="AJ15" s="927"/>
      <c r="AK15" s="952"/>
      <c r="AM15" s="939" t="s">
        <v>1344</v>
      </c>
      <c r="AN15" s="955"/>
      <c r="AO15" s="927"/>
      <c r="AP15" s="952"/>
      <c r="AR15" s="939" t="s">
        <v>1344</v>
      </c>
      <c r="AS15" s="955"/>
      <c r="AT15" s="927"/>
      <c r="AU15" s="952"/>
      <c r="AW15" s="939" t="s">
        <v>1344</v>
      </c>
      <c r="AX15" s="955"/>
      <c r="AY15" s="927"/>
      <c r="AZ15" s="952"/>
      <c r="BB15" s="939" t="s">
        <v>1344</v>
      </c>
      <c r="BC15" s="955"/>
      <c r="BD15" s="927"/>
      <c r="BE15" s="952"/>
      <c r="BH15" s="939" t="s">
        <v>1344</v>
      </c>
      <c r="BI15" s="955"/>
      <c r="BJ15" s="927"/>
      <c r="BK15" s="952"/>
    </row>
    <row r="16" spans="1:113" ht="15">
      <c r="A16" s="907"/>
      <c r="B16" s="949" t="s">
        <v>1497</v>
      </c>
      <c r="C16" s="956">
        <f>IF(AND(D16="",E16=""),"",IF(E16="",D16,E16))</f>
        <v>3.45</v>
      </c>
      <c r="D16" s="920">
        <f>IF(INDEX(16:16,$E$2)="","", INDEX(16:16, $E$2))</f>
        <v>3.45</v>
      </c>
      <c r="E16" s="921"/>
      <c r="F16" s="950"/>
      <c r="G16" s="912"/>
      <c r="R16" s="946" t="s">
        <v>6</v>
      </c>
      <c r="S16" s="937">
        <v>4.78</v>
      </c>
      <c r="T16" s="927"/>
      <c r="U16" s="952"/>
      <c r="V16" s="953"/>
      <c r="X16" s="946" t="s">
        <v>6</v>
      </c>
      <c r="Y16" s="937">
        <v>4.6500000000000004</v>
      </c>
      <c r="Z16" s="927"/>
      <c r="AA16" s="952"/>
      <c r="AC16" s="946" t="s">
        <v>6</v>
      </c>
      <c r="AD16" s="937">
        <v>4.6500000000000004</v>
      </c>
      <c r="AE16" s="927"/>
      <c r="AF16" s="952"/>
      <c r="AH16" s="946" t="s">
        <v>6</v>
      </c>
      <c r="AI16" s="937">
        <v>3.45</v>
      </c>
      <c r="AJ16" s="927"/>
      <c r="AK16" s="952"/>
      <c r="AM16" s="946" t="s">
        <v>6</v>
      </c>
      <c r="AN16" s="937">
        <v>4.2300000000000004</v>
      </c>
      <c r="AO16" s="927"/>
      <c r="AP16" s="952"/>
      <c r="AR16" s="946" t="s">
        <v>6</v>
      </c>
      <c r="AS16" s="937">
        <f>INDEX(R16:FB16, MATCH($AU$7, $R$6:$FB$6, 0))*$AU$8 + INDEX(R16:FB16, MATCH($AU$9, $R$6:$FB$6, 0))*(1-$AU$8)</f>
        <v>4.4400000000000004</v>
      </c>
      <c r="AT16" s="927"/>
      <c r="AU16" s="952"/>
      <c r="AW16" s="946" t="s">
        <v>6</v>
      </c>
      <c r="AX16" s="937">
        <v>4.6500000000000004</v>
      </c>
      <c r="AY16" s="927"/>
      <c r="AZ16" s="952"/>
      <c r="BB16" s="946" t="s">
        <v>6</v>
      </c>
      <c r="BC16" s="937">
        <v>4.6500000000000004</v>
      </c>
      <c r="BD16" s="927"/>
      <c r="BE16" s="952"/>
      <c r="BH16" s="946" t="s">
        <v>6</v>
      </c>
      <c r="BI16" s="937">
        <v>4.2300000000000004</v>
      </c>
      <c r="BJ16" s="927"/>
      <c r="BK16" s="952"/>
    </row>
    <row r="17" spans="1:63">
      <c r="A17" s="907"/>
      <c r="B17" s="949" t="s">
        <v>1498</v>
      </c>
      <c r="C17" s="956">
        <f>IF(AND(D17="",E17=""),"",IF(E17="",D17,E17))</f>
        <v>1.825</v>
      </c>
      <c r="D17" s="920">
        <f>IF(INDEX(17:17,$E$2)="","", INDEX(17:17, $E$2))</f>
        <v>1.825</v>
      </c>
      <c r="E17" s="921"/>
      <c r="F17" s="950"/>
      <c r="G17" s="912"/>
      <c r="R17" s="946" t="s">
        <v>10</v>
      </c>
      <c r="S17" s="937">
        <v>1.825</v>
      </c>
      <c r="T17" s="927"/>
      <c r="U17" s="952"/>
      <c r="V17" s="953"/>
      <c r="X17" s="946" t="s">
        <v>10</v>
      </c>
      <c r="Y17" s="937">
        <v>1.825</v>
      </c>
      <c r="Z17" s="927"/>
      <c r="AA17" s="952"/>
      <c r="AC17" s="946" t="s">
        <v>10</v>
      </c>
      <c r="AD17" s="937">
        <v>1.825</v>
      </c>
      <c r="AE17" s="927"/>
      <c r="AF17" s="952"/>
      <c r="AH17" s="946" t="s">
        <v>10</v>
      </c>
      <c r="AI17" s="937">
        <v>1.825</v>
      </c>
      <c r="AJ17" s="927"/>
      <c r="AK17" s="952"/>
      <c r="AM17" s="946" t="s">
        <v>10</v>
      </c>
      <c r="AN17" s="937">
        <v>1.825</v>
      </c>
      <c r="AO17" s="927"/>
      <c r="AP17" s="952"/>
      <c r="AR17" s="946" t="s">
        <v>10</v>
      </c>
      <c r="AS17" s="937">
        <f>INDEX(R17:FB17, MATCH($AU$7, $R$6:$FB$6, 0))*$AU$8 + INDEX(R17:FB17, MATCH($AU$9, $R$6:$FB$6, 0))*(1-$AU$8)</f>
        <v>3.2575000000000003</v>
      </c>
      <c r="AT17" s="927"/>
      <c r="AU17" s="952"/>
      <c r="AW17" s="946" t="s">
        <v>10</v>
      </c>
      <c r="AX17" s="937">
        <v>1.825</v>
      </c>
      <c r="AY17" s="927"/>
      <c r="AZ17" s="952"/>
      <c r="BB17" s="946" t="s">
        <v>10</v>
      </c>
      <c r="BC17" s="937">
        <v>4.6900000000000004</v>
      </c>
      <c r="BD17" s="927"/>
      <c r="BE17" s="952"/>
      <c r="BH17" s="946" t="s">
        <v>10</v>
      </c>
      <c r="BI17" s="937">
        <v>1.825</v>
      </c>
      <c r="BJ17" s="927"/>
      <c r="BK17" s="952"/>
    </row>
    <row r="18" spans="1:63">
      <c r="A18" s="907"/>
      <c r="B18" s="949" t="s">
        <v>1499</v>
      </c>
      <c r="C18" s="956">
        <f>IF(AND(D18="",E18=""),"",IF(E18="",D18,E18))</f>
        <v>1.77</v>
      </c>
      <c r="D18" s="920">
        <f>IF(INDEX(18:18,$E$2)="","", INDEX(18:18, $E$2))</f>
        <v>1.77</v>
      </c>
      <c r="E18" s="921"/>
      <c r="F18" s="950"/>
      <c r="G18" s="912"/>
      <c r="R18" s="935" t="s">
        <v>11</v>
      </c>
      <c r="S18" s="937">
        <v>1.77</v>
      </c>
      <c r="T18" s="927"/>
      <c r="U18" s="952"/>
      <c r="V18" s="953"/>
      <c r="X18" s="935" t="s">
        <v>11</v>
      </c>
      <c r="Y18" s="937">
        <v>1.77</v>
      </c>
      <c r="Z18" s="927"/>
      <c r="AA18" s="952"/>
      <c r="AC18" s="935" t="s">
        <v>11</v>
      </c>
      <c r="AD18" s="937">
        <v>1.77</v>
      </c>
      <c r="AE18" s="927"/>
      <c r="AF18" s="952"/>
      <c r="AH18" s="935" t="s">
        <v>11</v>
      </c>
      <c r="AI18" s="937">
        <v>1.77</v>
      </c>
      <c r="AJ18" s="927"/>
      <c r="AK18" s="952"/>
      <c r="AM18" s="935" t="s">
        <v>11</v>
      </c>
      <c r="AN18" s="937">
        <v>1.77</v>
      </c>
      <c r="AO18" s="927"/>
      <c r="AP18" s="952"/>
      <c r="AR18" s="935" t="s">
        <v>11</v>
      </c>
      <c r="AS18" s="937">
        <f>INDEX(R18:FB18, MATCH($AU$7, $R$6:$FB$6, 0))*$AU$8 + INDEX(R18:FB18, MATCH($AU$9, $R$6:$FB$6, 0))*(1-$AU$8)</f>
        <v>1.77</v>
      </c>
      <c r="AT18" s="927"/>
      <c r="AU18" s="952"/>
      <c r="AW18" s="935" t="s">
        <v>11</v>
      </c>
      <c r="AX18" s="937">
        <v>1.77</v>
      </c>
      <c r="AY18" s="927"/>
      <c r="AZ18" s="952"/>
      <c r="BB18" s="935" t="s">
        <v>11</v>
      </c>
      <c r="BC18" s="937">
        <v>1.77</v>
      </c>
      <c r="BD18" s="927"/>
      <c r="BE18" s="952"/>
      <c r="BH18" s="935" t="s">
        <v>11</v>
      </c>
      <c r="BI18" s="937">
        <v>1.77</v>
      </c>
      <c r="BJ18" s="927"/>
      <c r="BK18" s="952"/>
    </row>
    <row r="19" spans="1:63">
      <c r="A19" s="907"/>
      <c r="B19" s="949" t="s">
        <v>1558</v>
      </c>
      <c r="C19" s="957">
        <f>IF(NOT(Dashboard!E14=""),Dashboard!E14,IF(AND(D19="",E19=""),"",IF(E19="",D19,E19)))</f>
        <v>120</v>
      </c>
      <c r="D19" s="958">
        <v>120</v>
      </c>
      <c r="E19" s="921"/>
      <c r="F19" s="950"/>
      <c r="G19" s="912"/>
      <c r="R19" s="935"/>
      <c r="S19" s="937"/>
      <c r="T19" s="927"/>
      <c r="U19" s="952"/>
      <c r="V19" s="953"/>
      <c r="X19" s="935"/>
      <c r="Y19" s="937"/>
      <c r="Z19" s="927"/>
      <c r="AA19" s="952"/>
      <c r="AC19" s="935"/>
      <c r="AD19" s="937"/>
      <c r="AE19" s="927"/>
      <c r="AF19" s="952"/>
      <c r="AH19" s="935"/>
      <c r="AI19" s="937"/>
      <c r="AJ19" s="927"/>
      <c r="AK19" s="952"/>
      <c r="AM19" s="935"/>
      <c r="AN19" s="937"/>
      <c r="AO19" s="927"/>
      <c r="AP19" s="952"/>
      <c r="AR19" s="935"/>
      <c r="AS19" s="937"/>
      <c r="AT19" s="927"/>
      <c r="AU19" s="952"/>
      <c r="AW19" s="935"/>
      <c r="AX19" s="937"/>
      <c r="AY19" s="927"/>
      <c r="AZ19" s="952"/>
      <c r="BB19" s="935"/>
      <c r="BC19" s="937"/>
      <c r="BD19" s="927"/>
      <c r="BE19" s="952"/>
      <c r="BH19" s="935"/>
      <c r="BI19" s="937"/>
      <c r="BJ19" s="927"/>
      <c r="BK19" s="952"/>
    </row>
    <row r="20" spans="1:63">
      <c r="A20" s="907"/>
      <c r="B20" s="949" t="s">
        <v>1559</v>
      </c>
      <c r="C20" s="960">
        <f>IF(AND(D20="",E20=""),"",IF(E20="",D20,E20))</f>
        <v>5</v>
      </c>
      <c r="D20" s="958">
        <v>15</v>
      </c>
      <c r="E20" s="921">
        <v>5</v>
      </c>
      <c r="F20" s="950"/>
      <c r="G20" s="912"/>
      <c r="R20" s="935"/>
      <c r="S20" s="937"/>
      <c r="T20" s="927"/>
      <c r="U20" s="952"/>
      <c r="V20" s="953"/>
      <c r="X20" s="935"/>
      <c r="Y20" s="937"/>
      <c r="Z20" s="927"/>
      <c r="AA20" s="952"/>
      <c r="AC20" s="935"/>
      <c r="AD20" s="937"/>
      <c r="AE20" s="927"/>
      <c r="AF20" s="952"/>
      <c r="AH20" s="935"/>
      <c r="AI20" s="937"/>
      <c r="AJ20" s="927"/>
      <c r="AK20" s="952"/>
      <c r="AM20" s="935"/>
      <c r="AN20" s="937"/>
      <c r="AO20" s="927"/>
      <c r="AP20" s="952"/>
      <c r="AR20" s="935"/>
      <c r="AS20" s="937"/>
      <c r="AT20" s="927"/>
      <c r="AU20" s="952"/>
      <c r="AW20" s="935"/>
      <c r="AX20" s="937"/>
      <c r="AY20" s="927"/>
      <c r="AZ20" s="952"/>
      <c r="BB20" s="935"/>
      <c r="BC20" s="937"/>
      <c r="BD20" s="927"/>
      <c r="BE20" s="952"/>
      <c r="BH20" s="935"/>
      <c r="BI20" s="937"/>
      <c r="BJ20" s="927"/>
      <c r="BK20" s="952"/>
    </row>
    <row r="21" spans="1:63" ht="16">
      <c r="A21" s="907"/>
      <c r="B21" s="959" t="s">
        <v>1495</v>
      </c>
      <c r="C21" s="960">
        <f>IF(AND(D21="",E21=""),"",IF(E21="",D21,E21))</f>
        <v>100000</v>
      </c>
      <c r="D21" s="961">
        <f>IF(INDEX(21:21,$E$2)="","", INDEX(21:21, $E$2))</f>
        <v>100000</v>
      </c>
      <c r="E21" s="921"/>
      <c r="F21" s="962"/>
      <c r="G21" s="912"/>
      <c r="R21" s="963" t="s">
        <v>1345</v>
      </c>
      <c r="S21" s="964">
        <v>80000</v>
      </c>
      <c r="T21" s="965"/>
      <c r="U21" s="916"/>
      <c r="X21" s="963" t="s">
        <v>1345</v>
      </c>
      <c r="Y21" s="964">
        <v>80000</v>
      </c>
      <c r="Z21" s="965"/>
      <c r="AA21" s="916"/>
      <c r="AC21" s="963" t="s">
        <v>1345</v>
      </c>
      <c r="AD21" s="964">
        <v>80000</v>
      </c>
      <c r="AE21" s="965"/>
      <c r="AF21" s="916"/>
      <c r="AH21" s="963" t="s">
        <v>1345</v>
      </c>
      <c r="AI21" s="964">
        <v>100000</v>
      </c>
      <c r="AJ21" s="965"/>
      <c r="AK21" s="916"/>
      <c r="AM21" s="963" t="s">
        <v>1345</v>
      </c>
      <c r="AN21" s="964">
        <v>80000</v>
      </c>
      <c r="AO21" s="965"/>
      <c r="AP21" s="916"/>
      <c r="AR21" s="963" t="s">
        <v>1345</v>
      </c>
      <c r="AS21" s="937">
        <f>INDEX(R21:FB21, MATCH($AU$7, $R$6:$FB$6, 0))*$AU$8 + INDEX(R21:FB21, MATCH($AU$9, $R$6:$FB$6, 0))*(1-$AU$8)</f>
        <v>80000</v>
      </c>
      <c r="AT21" s="965"/>
      <c r="AU21" s="916"/>
      <c r="AW21" s="963" t="s">
        <v>1345</v>
      </c>
      <c r="AX21" s="964">
        <v>79000</v>
      </c>
      <c r="AY21" s="965"/>
      <c r="AZ21" s="916"/>
      <c r="BB21" s="963" t="s">
        <v>1345</v>
      </c>
      <c r="BC21" s="964">
        <v>80000</v>
      </c>
      <c r="BD21" s="965"/>
      <c r="BE21" s="916"/>
      <c r="BH21" s="963" t="s">
        <v>1345</v>
      </c>
      <c r="BI21" s="964">
        <v>80000</v>
      </c>
      <c r="BJ21" s="965"/>
      <c r="BK21" s="916"/>
    </row>
    <row r="22" spans="1:63">
      <c r="A22" s="907"/>
      <c r="B22" s="966"/>
      <c r="C22" s="919"/>
      <c r="D22" s="920"/>
      <c r="E22" s="921"/>
      <c r="F22" s="967"/>
      <c r="G22" s="912"/>
      <c r="R22" s="968" t="s">
        <v>158</v>
      </c>
      <c r="S22" s="955"/>
      <c r="T22" s="892"/>
      <c r="U22" s="969"/>
      <c r="V22" s="970"/>
      <c r="X22" s="968" t="s">
        <v>158</v>
      </c>
      <c r="Y22" s="955"/>
      <c r="Z22" s="892"/>
      <c r="AA22" s="969"/>
      <c r="AC22" s="968" t="s">
        <v>158</v>
      </c>
      <c r="AD22" s="955"/>
      <c r="AE22" s="892"/>
      <c r="AF22" s="969"/>
      <c r="AH22" s="968" t="s">
        <v>158</v>
      </c>
      <c r="AI22" s="955"/>
      <c r="AJ22" s="892"/>
      <c r="AK22" s="969"/>
      <c r="AM22" s="968" t="s">
        <v>158</v>
      </c>
      <c r="AN22" s="955"/>
      <c r="AO22" s="892"/>
      <c r="AP22" s="969"/>
      <c r="AR22" s="968" t="s">
        <v>158</v>
      </c>
      <c r="AS22" s="955"/>
      <c r="AT22" s="892"/>
      <c r="AU22" s="969"/>
      <c r="AW22" s="968" t="s">
        <v>158</v>
      </c>
      <c r="AX22" s="955"/>
      <c r="AY22" s="892"/>
      <c r="AZ22" s="969"/>
      <c r="BB22" s="968" t="s">
        <v>158</v>
      </c>
      <c r="BC22" s="955"/>
      <c r="BD22" s="892"/>
      <c r="BE22" s="969"/>
      <c r="BH22" s="968" t="s">
        <v>158</v>
      </c>
      <c r="BI22" s="955"/>
      <c r="BJ22" s="892"/>
      <c r="BK22" s="969"/>
    </row>
    <row r="23" spans="1:63">
      <c r="A23" s="907" t="s">
        <v>991</v>
      </c>
      <c r="B23" s="949" t="s">
        <v>1108</v>
      </c>
      <c r="C23" s="919" t="str">
        <f>IF(AND(D23="",E23=""),"",IF(E23="",D23,E23))</f>
        <v>Aluminum</v>
      </c>
      <c r="D23" s="920" t="str">
        <f>IF(INDEX(23:23,$E$2)="","", INDEX(23:23, $E$2))</f>
        <v>Aluminum</v>
      </c>
      <c r="E23" s="921"/>
      <c r="F23" s="962"/>
      <c r="G23" s="912"/>
      <c r="R23" s="935" t="s">
        <v>159</v>
      </c>
      <c r="S23" s="937" t="s">
        <v>162</v>
      </c>
      <c r="T23" s="965"/>
      <c r="U23" s="916"/>
      <c r="X23" s="935" t="s">
        <v>159</v>
      </c>
      <c r="Y23" s="937" t="s">
        <v>162</v>
      </c>
      <c r="Z23" s="965"/>
      <c r="AA23" s="916"/>
      <c r="AC23" s="935" t="s">
        <v>159</v>
      </c>
      <c r="AD23" s="937" t="s">
        <v>162</v>
      </c>
      <c r="AE23" s="965"/>
      <c r="AF23" s="916"/>
      <c r="AH23" s="935" t="s">
        <v>159</v>
      </c>
      <c r="AI23" s="937" t="s">
        <v>162</v>
      </c>
      <c r="AJ23" s="965"/>
      <c r="AK23" s="916"/>
      <c r="AM23" s="935" t="s">
        <v>159</v>
      </c>
      <c r="AN23" s="937" t="s">
        <v>162</v>
      </c>
      <c r="AO23" s="965"/>
      <c r="AP23" s="916"/>
      <c r="AR23" s="935" t="s">
        <v>159</v>
      </c>
      <c r="AS23" s="937" t="s">
        <v>162</v>
      </c>
      <c r="AT23" s="965"/>
      <c r="AU23" s="916"/>
      <c r="AW23" s="935" t="s">
        <v>159</v>
      </c>
      <c r="AX23" s="937" t="s">
        <v>162</v>
      </c>
      <c r="AY23" s="965"/>
      <c r="AZ23" s="916"/>
      <c r="BB23" s="935" t="s">
        <v>159</v>
      </c>
      <c r="BC23" s="937" t="s">
        <v>162</v>
      </c>
      <c r="BD23" s="965"/>
      <c r="BE23" s="916"/>
      <c r="BH23" s="935" t="s">
        <v>159</v>
      </c>
      <c r="BI23" s="937" t="s">
        <v>162</v>
      </c>
      <c r="BJ23" s="965"/>
      <c r="BK23" s="916"/>
    </row>
    <row r="24" spans="1:63">
      <c r="A24" s="907" t="s">
        <v>991</v>
      </c>
      <c r="B24" s="949" t="s">
        <v>1346</v>
      </c>
      <c r="C24" s="957">
        <f>IF(NOT(Dashboard!E13=""),Dashboard!E13,IF(AND(D24="",E24=""),"",IF(E24="",D24,E24)))</f>
        <v>15</v>
      </c>
      <c r="D24" s="958">
        <f>IF(INDEX(24:24,$E$2)="","", INDEX(24:24, $E$2))</f>
        <v>15</v>
      </c>
      <c r="E24" s="921"/>
      <c r="F24" s="962"/>
      <c r="G24" s="912"/>
      <c r="R24" s="935" t="s">
        <v>1017</v>
      </c>
      <c r="S24" s="937">
        <v>15</v>
      </c>
      <c r="T24" s="965"/>
      <c r="U24" s="916"/>
      <c r="X24" s="935" t="s">
        <v>1017</v>
      </c>
      <c r="Y24" s="937">
        <v>15</v>
      </c>
      <c r="Z24" s="965"/>
      <c r="AA24" s="916"/>
      <c r="AC24" s="935" t="s">
        <v>1017</v>
      </c>
      <c r="AD24" s="937">
        <v>15</v>
      </c>
      <c r="AE24" s="965"/>
      <c r="AF24" s="916"/>
      <c r="AH24" s="935" t="s">
        <v>1017</v>
      </c>
      <c r="AI24" s="937">
        <v>15</v>
      </c>
      <c r="AJ24" s="965"/>
      <c r="AK24" s="916"/>
      <c r="AM24" s="935" t="s">
        <v>1017</v>
      </c>
      <c r="AN24" s="937">
        <v>15</v>
      </c>
      <c r="AO24" s="965"/>
      <c r="AP24" s="916"/>
      <c r="AR24" s="935" t="s">
        <v>1017</v>
      </c>
      <c r="AS24" s="937">
        <f>INDEX(R24:FB24, MATCH($AU$7, $R$6:$FB$6, 0))*$AU$8 + INDEX(R24:FB24, MATCH($AU$9, $R$6:$FB$6, 0))*(1-$AU$8)</f>
        <v>15</v>
      </c>
      <c r="AT24" s="965"/>
      <c r="AU24" s="916"/>
      <c r="AW24" s="935" t="s">
        <v>1017</v>
      </c>
      <c r="AX24" s="937">
        <v>15</v>
      </c>
      <c r="AY24" s="965"/>
      <c r="AZ24" s="916"/>
      <c r="BB24" s="935" t="s">
        <v>1017</v>
      </c>
      <c r="BC24" s="937">
        <v>15</v>
      </c>
      <c r="BD24" s="965"/>
      <c r="BE24" s="916"/>
      <c r="BH24" s="935" t="s">
        <v>1017</v>
      </c>
      <c r="BI24" s="937">
        <v>15</v>
      </c>
      <c r="BJ24" s="965"/>
      <c r="BK24" s="916"/>
    </row>
    <row r="25" spans="1:63">
      <c r="A25" s="907"/>
      <c r="B25" s="949"/>
      <c r="C25" s="919"/>
      <c r="D25" s="920"/>
      <c r="E25" s="921"/>
      <c r="F25" s="962"/>
      <c r="G25" s="912"/>
      <c r="R25" s="935"/>
      <c r="S25" s="937"/>
      <c r="T25" s="965"/>
      <c r="U25" s="916"/>
      <c r="X25" s="935"/>
      <c r="Y25" s="937"/>
      <c r="Z25" s="965"/>
      <c r="AA25" s="916"/>
      <c r="AC25" s="935"/>
      <c r="AD25" s="937"/>
      <c r="AE25" s="965"/>
      <c r="AF25" s="916"/>
      <c r="AH25" s="935"/>
      <c r="AI25" s="937"/>
      <c r="AJ25" s="965"/>
      <c r="AK25" s="916"/>
      <c r="AM25" s="935"/>
      <c r="AN25" s="937"/>
      <c r="AO25" s="965"/>
      <c r="AP25" s="916"/>
      <c r="AR25" s="935"/>
      <c r="AS25" s="937"/>
      <c r="AT25" s="965"/>
      <c r="AU25" s="916"/>
      <c r="AW25" s="935"/>
      <c r="AX25" s="937"/>
      <c r="AY25" s="965"/>
      <c r="AZ25" s="916"/>
      <c r="BB25" s="935"/>
      <c r="BC25" s="937"/>
      <c r="BD25" s="965"/>
      <c r="BE25" s="916"/>
      <c r="BH25" s="935"/>
      <c r="BI25" s="937"/>
      <c r="BJ25" s="965"/>
      <c r="BK25" s="916"/>
    </row>
    <row r="26" spans="1:63">
      <c r="A26" s="907"/>
      <c r="B26" s="949"/>
      <c r="C26" s="919"/>
      <c r="D26" s="920"/>
      <c r="E26" s="921"/>
      <c r="F26" s="962"/>
      <c r="G26" s="912"/>
      <c r="R26" s="935"/>
      <c r="S26" s="937"/>
      <c r="T26" s="965"/>
      <c r="U26" s="916"/>
      <c r="X26" s="935"/>
      <c r="Y26" s="937"/>
      <c r="Z26" s="965"/>
      <c r="AA26" s="916"/>
      <c r="AC26" s="935"/>
      <c r="AD26" s="937"/>
      <c r="AE26" s="965"/>
      <c r="AF26" s="916"/>
      <c r="AH26" s="935"/>
      <c r="AI26" s="937"/>
      <c r="AJ26" s="965"/>
      <c r="AK26" s="916"/>
      <c r="AM26" s="935"/>
      <c r="AN26" s="937"/>
      <c r="AO26" s="965"/>
      <c r="AP26" s="916"/>
      <c r="AR26" s="935"/>
      <c r="AS26" s="937"/>
      <c r="AT26" s="965"/>
      <c r="AU26" s="916"/>
      <c r="AW26" s="935"/>
      <c r="AX26" s="937"/>
      <c r="AY26" s="965"/>
      <c r="AZ26" s="916"/>
      <c r="BB26" s="935"/>
      <c r="BC26" s="937"/>
      <c r="BD26" s="965"/>
      <c r="BE26" s="916"/>
      <c r="BH26" s="935"/>
      <c r="BI26" s="937"/>
      <c r="BJ26" s="965"/>
      <c r="BK26" s="916"/>
    </row>
    <row r="27" spans="1:63">
      <c r="A27" s="907"/>
      <c r="B27" s="949"/>
      <c r="C27" s="919"/>
      <c r="D27" s="920"/>
      <c r="E27" s="921"/>
      <c r="F27" s="950"/>
      <c r="G27" s="912"/>
      <c r="R27" s="935"/>
      <c r="S27" s="937"/>
      <c r="T27" s="927"/>
      <c r="U27" s="952"/>
      <c r="V27" s="953"/>
      <c r="X27" s="935"/>
      <c r="Y27" s="937"/>
      <c r="Z27" s="927"/>
      <c r="AA27" s="952"/>
      <c r="AC27" s="935"/>
      <c r="AD27" s="937"/>
      <c r="AE27" s="927"/>
      <c r="AF27" s="952"/>
      <c r="AH27" s="935"/>
      <c r="AI27" s="937"/>
      <c r="AJ27" s="927"/>
      <c r="AK27" s="952"/>
      <c r="AM27" s="935"/>
      <c r="AN27" s="937"/>
      <c r="AO27" s="927"/>
      <c r="AP27" s="952"/>
      <c r="AR27" s="935"/>
      <c r="AS27" s="937"/>
      <c r="AT27" s="927"/>
      <c r="AU27" s="952"/>
      <c r="AW27" s="935"/>
      <c r="AX27" s="937"/>
      <c r="AY27" s="927"/>
      <c r="AZ27" s="952"/>
      <c r="BB27" s="935"/>
      <c r="BC27" s="937"/>
      <c r="BD27" s="927"/>
      <c r="BE27" s="952"/>
      <c r="BH27" s="935"/>
      <c r="BI27" s="937"/>
      <c r="BJ27" s="927"/>
      <c r="BK27" s="952"/>
    </row>
    <row r="28" spans="1:63">
      <c r="A28" s="907"/>
      <c r="B28" s="966" t="s">
        <v>1110</v>
      </c>
      <c r="C28" s="919" t="str">
        <f>IF(C29 = "G", D28, "No")</f>
        <v>No</v>
      </c>
      <c r="D28" s="971" t="s">
        <v>740</v>
      </c>
      <c r="E28" s="189"/>
      <c r="F28" s="950"/>
      <c r="G28" s="912"/>
      <c r="R28" s="935"/>
      <c r="S28" s="937"/>
      <c r="T28" s="927"/>
      <c r="U28" s="952"/>
      <c r="V28" s="953"/>
      <c r="X28" s="935"/>
      <c r="Y28" s="937"/>
      <c r="Z28" s="927"/>
      <c r="AA28" s="952"/>
      <c r="AC28" s="935"/>
      <c r="AD28" s="937"/>
      <c r="AE28" s="927"/>
      <c r="AF28" s="952"/>
      <c r="AH28" s="935"/>
      <c r="AI28" s="937"/>
      <c r="AJ28" s="927"/>
      <c r="AK28" s="952"/>
      <c r="AM28" s="935"/>
      <c r="AN28" s="937"/>
      <c r="AO28" s="927"/>
      <c r="AP28" s="952"/>
      <c r="AR28" s="935"/>
      <c r="AS28" s="937"/>
      <c r="AT28" s="927"/>
      <c r="AU28" s="952"/>
      <c r="AW28" s="935"/>
      <c r="AX28" s="937"/>
      <c r="AY28" s="927"/>
      <c r="AZ28" s="952"/>
      <c r="BB28" s="935"/>
      <c r="BC28" s="937"/>
      <c r="BD28" s="927"/>
      <c r="BE28" s="952"/>
      <c r="BH28" s="935"/>
      <c r="BI28" s="937"/>
      <c r="BJ28" s="927"/>
      <c r="BK28" s="952"/>
    </row>
    <row r="29" spans="1:63">
      <c r="A29" s="907"/>
      <c r="B29" s="966" t="s">
        <v>1111</v>
      </c>
      <c r="C29" s="919" t="str">
        <f>D29</f>
        <v>G</v>
      </c>
      <c r="D29" s="920" t="str">
        <f t="shared" ref="D29:D36" si="1">IF(INDEX(29:29,$E$2)="","", INDEX(29:29, $E$2))</f>
        <v>G</v>
      </c>
      <c r="E29" s="189"/>
      <c r="F29" s="962"/>
      <c r="G29" s="912"/>
      <c r="R29" s="968" t="s">
        <v>157</v>
      </c>
      <c r="S29" s="937" t="s">
        <v>907</v>
      </c>
      <c r="T29" s="915"/>
      <c r="U29" s="916"/>
      <c r="X29" s="968" t="s">
        <v>157</v>
      </c>
      <c r="Y29" s="937" t="s">
        <v>907</v>
      </c>
      <c r="Z29" s="915"/>
      <c r="AA29" s="916"/>
      <c r="AC29" s="968" t="s">
        <v>157</v>
      </c>
      <c r="AD29" s="937" t="s">
        <v>907</v>
      </c>
      <c r="AE29" s="915"/>
      <c r="AF29" s="916"/>
      <c r="AH29" s="968" t="s">
        <v>157</v>
      </c>
      <c r="AI29" s="937" t="s">
        <v>907</v>
      </c>
      <c r="AJ29" s="915"/>
      <c r="AK29" s="916"/>
      <c r="AM29" s="968" t="s">
        <v>157</v>
      </c>
      <c r="AN29" s="937" t="s">
        <v>907</v>
      </c>
      <c r="AO29" s="915"/>
      <c r="AP29" s="916"/>
      <c r="AR29" s="968" t="s">
        <v>157</v>
      </c>
      <c r="AS29" s="937" t="s">
        <v>907</v>
      </c>
      <c r="AT29" s="915"/>
      <c r="AU29" s="916"/>
      <c r="AW29" s="968" t="s">
        <v>157</v>
      </c>
      <c r="AX29" s="937" t="s">
        <v>907</v>
      </c>
      <c r="AY29" s="915"/>
      <c r="AZ29" s="916"/>
      <c r="BB29" s="968" t="s">
        <v>157</v>
      </c>
      <c r="BC29" s="937" t="s">
        <v>907</v>
      </c>
      <c r="BD29" s="915"/>
      <c r="BE29" s="916"/>
      <c r="BH29" s="968" t="s">
        <v>157</v>
      </c>
      <c r="BI29" s="937" t="s">
        <v>906</v>
      </c>
      <c r="BJ29" s="915"/>
      <c r="BK29" s="916"/>
    </row>
    <row r="30" spans="1:63">
      <c r="A30" s="907"/>
      <c r="B30" s="949" t="s">
        <v>163</v>
      </c>
      <c r="C30" s="956">
        <f>IF(NOT(Dashboard!E18=""),Dashboard!E18,IF(AND(D30="",E30=""),"",IF(E30="",D30,E30)))</f>
        <v>1.2</v>
      </c>
      <c r="D30" s="920">
        <f t="shared" si="1"/>
        <v>1.2</v>
      </c>
      <c r="E30" s="921"/>
      <c r="F30" s="962"/>
      <c r="G30" s="912"/>
      <c r="R30" s="935" t="s">
        <v>163</v>
      </c>
      <c r="S30" s="937">
        <v>1.1499999999999999</v>
      </c>
      <c r="T30" s="915"/>
      <c r="U30" s="916"/>
      <c r="X30" s="935" t="s">
        <v>163</v>
      </c>
      <c r="Y30" s="937">
        <v>1.1499999999999999</v>
      </c>
      <c r="Z30" s="915"/>
      <c r="AA30" s="916"/>
      <c r="AC30" s="935" t="s">
        <v>163</v>
      </c>
      <c r="AD30" s="937">
        <v>1.1499999999999999</v>
      </c>
      <c r="AE30" s="915"/>
      <c r="AF30" s="916"/>
      <c r="AH30" s="935" t="s">
        <v>163</v>
      </c>
      <c r="AI30" s="937">
        <v>1.2</v>
      </c>
      <c r="AJ30" s="915"/>
      <c r="AK30" s="916"/>
      <c r="AM30" s="935" t="s">
        <v>163</v>
      </c>
      <c r="AN30" s="937">
        <v>1.1000000000000001</v>
      </c>
      <c r="AO30" s="915"/>
      <c r="AP30" s="916"/>
      <c r="AR30" s="935" t="s">
        <v>163</v>
      </c>
      <c r="AS30" s="937">
        <v>1.1499999999999999</v>
      </c>
      <c r="AT30" s="915"/>
      <c r="AU30" s="916"/>
      <c r="AW30" s="935" t="s">
        <v>163</v>
      </c>
      <c r="AX30" s="937">
        <v>1.1399999999999999</v>
      </c>
      <c r="AY30" s="915"/>
      <c r="AZ30" s="916"/>
      <c r="BB30" s="935" t="s">
        <v>163</v>
      </c>
      <c r="BC30" s="937">
        <v>1.07</v>
      </c>
      <c r="BD30" s="915"/>
      <c r="BE30" s="916"/>
      <c r="BH30" s="935" t="s">
        <v>163</v>
      </c>
      <c r="BI30" s="937">
        <v>1.1000000000000001</v>
      </c>
      <c r="BJ30" s="915"/>
      <c r="BK30" s="916"/>
    </row>
    <row r="31" spans="1:63">
      <c r="A31" s="907"/>
      <c r="B31" s="930" t="s">
        <v>1112</v>
      </c>
      <c r="C31" s="957">
        <f>IF(SUM(C33:C35) = 100, IF(NOT(Dashboard!E17=""),Dashboard!E17,IF(AND(D31="",E31=""),"",IF(E31="",D31,E31))), NA())</f>
        <v>3800</v>
      </c>
      <c r="D31" s="958">
        <f>IF(INDEX(31:31,$E$2)="","", IF(C28="No", INDEX(31:31, $E$2),  INDEX(31:31, $E$2)*0.95 + 2000*0.05))</f>
        <v>360</v>
      </c>
      <c r="E31" s="921"/>
      <c r="F31" s="962"/>
      <c r="G31" s="912"/>
      <c r="R31" s="914" t="s">
        <v>164</v>
      </c>
      <c r="S31" s="937">
        <v>360</v>
      </c>
      <c r="T31" s="915"/>
      <c r="U31" s="916"/>
      <c r="X31" s="914" t="s">
        <v>164</v>
      </c>
      <c r="Y31" s="937">
        <v>360</v>
      </c>
      <c r="Z31" s="915"/>
      <c r="AA31" s="916"/>
      <c r="AC31" s="914" t="s">
        <v>164</v>
      </c>
      <c r="AD31" s="937">
        <v>360</v>
      </c>
      <c r="AE31" s="915"/>
      <c r="AF31" s="916"/>
      <c r="AH31" s="914" t="s">
        <v>164</v>
      </c>
      <c r="AI31" s="937">
        <v>360</v>
      </c>
      <c r="AJ31" s="915"/>
      <c r="AK31" s="916"/>
      <c r="AM31" s="914" t="s">
        <v>164</v>
      </c>
      <c r="AN31" s="937">
        <v>360</v>
      </c>
      <c r="AO31" s="915"/>
      <c r="AP31" s="916"/>
      <c r="AR31" s="914" t="s">
        <v>164</v>
      </c>
      <c r="AS31" s="937">
        <v>360</v>
      </c>
      <c r="AT31" s="915"/>
      <c r="AU31" s="916"/>
      <c r="AW31" s="914" t="s">
        <v>164</v>
      </c>
      <c r="AX31" s="937">
        <v>345</v>
      </c>
      <c r="AY31" s="915"/>
      <c r="AZ31" s="916"/>
      <c r="BB31" s="914" t="s">
        <v>164</v>
      </c>
      <c r="BC31" s="937">
        <v>345</v>
      </c>
      <c r="BD31" s="915"/>
      <c r="BE31" s="916"/>
      <c r="BH31" s="914" t="s">
        <v>164</v>
      </c>
      <c r="BI31" s="937">
        <v>170</v>
      </c>
      <c r="BJ31" s="915"/>
      <c r="BK31" s="916"/>
    </row>
    <row r="32" spans="1:63">
      <c r="A32" s="907"/>
      <c r="B32" s="954" t="s">
        <v>1264</v>
      </c>
      <c r="C32" s="919"/>
      <c r="D32" s="919" t="str">
        <f>IF(ISERROR(C31)," Sum of % must add to 100", "")</f>
        <v/>
      </c>
      <c r="E32" s="921"/>
      <c r="F32" s="962"/>
      <c r="G32" s="912"/>
      <c r="R32" s="939" t="s">
        <v>8</v>
      </c>
      <c r="S32" s="955"/>
      <c r="T32" s="915"/>
      <c r="U32" s="916"/>
      <c r="X32" s="939" t="s">
        <v>8</v>
      </c>
      <c r="Y32" s="955"/>
      <c r="Z32" s="915"/>
      <c r="AA32" s="916"/>
      <c r="AC32" s="939" t="s">
        <v>8</v>
      </c>
      <c r="AD32" s="955"/>
      <c r="AE32" s="915"/>
      <c r="AF32" s="916"/>
      <c r="AH32" s="939" t="s">
        <v>8</v>
      </c>
      <c r="AI32" s="955"/>
      <c r="AJ32" s="915"/>
      <c r="AK32" s="916"/>
      <c r="AM32" s="939" t="s">
        <v>8</v>
      </c>
      <c r="AN32" s="955"/>
      <c r="AO32" s="915"/>
      <c r="AP32" s="916"/>
      <c r="AR32" s="939" t="s">
        <v>8</v>
      </c>
      <c r="AS32" s="955"/>
      <c r="AT32" s="915"/>
      <c r="AU32" s="916"/>
      <c r="AW32" s="939" t="s">
        <v>8</v>
      </c>
      <c r="AX32" s="955"/>
      <c r="AY32" s="915"/>
      <c r="AZ32" s="916"/>
      <c r="BB32" s="939" t="s">
        <v>8</v>
      </c>
      <c r="BC32" s="955"/>
      <c r="BD32" s="915"/>
      <c r="BE32" s="916"/>
      <c r="BH32" s="939" t="s">
        <v>8</v>
      </c>
      <c r="BI32" s="955"/>
      <c r="BJ32" s="915"/>
      <c r="BK32" s="916"/>
    </row>
    <row r="33" spans="1:63">
      <c r="A33" s="907" t="s">
        <v>991</v>
      </c>
      <c r="B33" s="943" t="s">
        <v>1113</v>
      </c>
      <c r="C33" s="919">
        <f t="shared" ref="C33:C35" si="2">IF(AND(D33="",E33=""),"",IF(E33="",D33,E33))</f>
        <v>100</v>
      </c>
      <c r="D33" s="944">
        <f t="shared" si="1"/>
        <v>98</v>
      </c>
      <c r="E33" s="921">
        <v>100</v>
      </c>
      <c r="F33" s="945"/>
      <c r="G33" s="189"/>
      <c r="R33" s="946" t="s">
        <v>6</v>
      </c>
      <c r="S33" s="972">
        <v>98</v>
      </c>
      <c r="T33" s="915"/>
      <c r="U33" s="947"/>
      <c r="V33" s="948"/>
      <c r="X33" s="946" t="s">
        <v>6</v>
      </c>
      <c r="Y33" s="972">
        <v>98</v>
      </c>
      <c r="Z33" s="915"/>
      <c r="AA33" s="947"/>
      <c r="AC33" s="946" t="s">
        <v>6</v>
      </c>
      <c r="AD33" s="972">
        <v>95</v>
      </c>
      <c r="AE33" s="915"/>
      <c r="AF33" s="947"/>
      <c r="AH33" s="946" t="s">
        <v>6</v>
      </c>
      <c r="AI33" s="972">
        <v>98</v>
      </c>
      <c r="AJ33" s="915"/>
      <c r="AK33" s="947"/>
      <c r="AM33" s="946" t="s">
        <v>6</v>
      </c>
      <c r="AN33" s="972">
        <v>98</v>
      </c>
      <c r="AO33" s="915"/>
      <c r="AP33" s="947"/>
      <c r="AR33" s="946" t="s">
        <v>6</v>
      </c>
      <c r="AS33" s="972">
        <v>95</v>
      </c>
      <c r="AT33" s="915"/>
      <c r="AU33" s="947"/>
      <c r="AW33" s="946" t="s">
        <v>6</v>
      </c>
      <c r="AX33" s="972">
        <v>98</v>
      </c>
      <c r="AY33" s="915"/>
      <c r="AZ33" s="947"/>
      <c r="BB33" s="946" t="s">
        <v>6</v>
      </c>
      <c r="BC33" s="972">
        <v>98</v>
      </c>
      <c r="BD33" s="915"/>
      <c r="BE33" s="947"/>
      <c r="BH33" s="946" t="s">
        <v>6</v>
      </c>
      <c r="BI33" s="972">
        <f>100-BI34-BI35</f>
        <v>89</v>
      </c>
      <c r="BJ33" s="915"/>
      <c r="BK33" s="947"/>
    </row>
    <row r="34" spans="1:63">
      <c r="A34" s="907"/>
      <c r="B34" s="943" t="s">
        <v>1114</v>
      </c>
      <c r="C34" s="919">
        <f t="shared" si="2"/>
        <v>0</v>
      </c>
      <c r="D34" s="944">
        <f t="shared" si="1"/>
        <v>0</v>
      </c>
      <c r="E34" s="921"/>
      <c r="F34" s="945"/>
      <c r="G34" s="912"/>
      <c r="R34" s="935" t="s">
        <v>10</v>
      </c>
      <c r="S34" s="972">
        <v>0</v>
      </c>
      <c r="T34" s="915"/>
      <c r="U34" s="947"/>
      <c r="V34" s="948"/>
      <c r="X34" s="935" t="s">
        <v>10</v>
      </c>
      <c r="Y34" s="972">
        <v>0</v>
      </c>
      <c r="Z34" s="915"/>
      <c r="AA34" s="947"/>
      <c r="AC34" s="935" t="s">
        <v>10</v>
      </c>
      <c r="AD34" s="972">
        <v>0</v>
      </c>
      <c r="AE34" s="915"/>
      <c r="AF34" s="947"/>
      <c r="AH34" s="935" t="s">
        <v>10</v>
      </c>
      <c r="AI34" s="972">
        <v>0</v>
      </c>
      <c r="AJ34" s="915"/>
      <c r="AK34" s="947"/>
      <c r="AM34" s="935" t="s">
        <v>10</v>
      </c>
      <c r="AN34" s="972">
        <v>0</v>
      </c>
      <c r="AO34" s="915"/>
      <c r="AP34" s="947"/>
      <c r="AR34" s="935" t="s">
        <v>10</v>
      </c>
      <c r="AS34" s="972">
        <v>0</v>
      </c>
      <c r="AT34" s="915"/>
      <c r="AU34" s="947"/>
      <c r="AW34" s="935" t="s">
        <v>10</v>
      </c>
      <c r="AX34" s="972">
        <v>0</v>
      </c>
      <c r="AY34" s="915"/>
      <c r="AZ34" s="947"/>
      <c r="BB34" s="935" t="s">
        <v>10</v>
      </c>
      <c r="BC34" s="972">
        <v>0</v>
      </c>
      <c r="BD34" s="915"/>
      <c r="BE34" s="947"/>
      <c r="BH34" s="935" t="s">
        <v>10</v>
      </c>
      <c r="BI34" s="972">
        <v>6</v>
      </c>
      <c r="BJ34" s="915"/>
      <c r="BK34" s="947"/>
    </row>
    <row r="35" spans="1:63">
      <c r="A35" s="907"/>
      <c r="B35" s="949" t="s">
        <v>1115</v>
      </c>
      <c r="C35" s="919">
        <f t="shared" si="2"/>
        <v>0</v>
      </c>
      <c r="D35" s="944">
        <f t="shared" si="1"/>
        <v>2</v>
      </c>
      <c r="E35" s="921">
        <v>0</v>
      </c>
      <c r="F35" s="945"/>
      <c r="G35" s="912"/>
      <c r="R35" s="935" t="s">
        <v>11</v>
      </c>
      <c r="S35" s="972">
        <v>2</v>
      </c>
      <c r="T35" s="915"/>
      <c r="U35" s="947"/>
      <c r="V35" s="948"/>
      <c r="X35" s="935" t="s">
        <v>11</v>
      </c>
      <c r="Y35" s="972">
        <v>2</v>
      </c>
      <c r="Z35" s="915"/>
      <c r="AA35" s="947"/>
      <c r="AC35" s="935" t="s">
        <v>11</v>
      </c>
      <c r="AD35" s="972">
        <v>5</v>
      </c>
      <c r="AE35" s="915"/>
      <c r="AF35" s="947"/>
      <c r="AH35" s="935" t="s">
        <v>11</v>
      </c>
      <c r="AI35" s="972">
        <v>2</v>
      </c>
      <c r="AJ35" s="915"/>
      <c r="AK35" s="947"/>
      <c r="AM35" s="935" t="s">
        <v>11</v>
      </c>
      <c r="AN35" s="972">
        <v>2</v>
      </c>
      <c r="AO35" s="915"/>
      <c r="AP35" s="947"/>
      <c r="AR35" s="935" t="s">
        <v>11</v>
      </c>
      <c r="AS35" s="972">
        <v>5</v>
      </c>
      <c r="AT35" s="915"/>
      <c r="AU35" s="947"/>
      <c r="AW35" s="935" t="s">
        <v>11</v>
      </c>
      <c r="AX35" s="972">
        <v>2</v>
      </c>
      <c r="AY35" s="915"/>
      <c r="AZ35" s="947"/>
      <c r="BB35" s="935" t="s">
        <v>11</v>
      </c>
      <c r="BC35" s="972">
        <v>2</v>
      </c>
      <c r="BD35" s="915"/>
      <c r="BE35" s="947"/>
      <c r="BH35" s="935" t="s">
        <v>11</v>
      </c>
      <c r="BI35" s="972">
        <v>5</v>
      </c>
      <c r="BJ35" s="915"/>
      <c r="BK35" s="947"/>
    </row>
    <row r="36" spans="1:63">
      <c r="A36" s="907"/>
      <c r="B36" s="949" t="s">
        <v>1516</v>
      </c>
      <c r="C36" s="919" t="str">
        <f>IF(AND(D36="",E36=""),"",IF(E36="",D36,E36))</f>
        <v>Water</v>
      </c>
      <c r="D36" s="920" t="str">
        <f t="shared" si="1"/>
        <v>Water</v>
      </c>
      <c r="E36" s="921"/>
      <c r="F36" s="962"/>
      <c r="G36" s="912"/>
      <c r="R36" s="939" t="s">
        <v>228</v>
      </c>
      <c r="S36" s="972" t="s">
        <v>230</v>
      </c>
      <c r="T36" s="915"/>
      <c r="U36" s="916"/>
      <c r="X36" s="939" t="s">
        <v>228</v>
      </c>
      <c r="Y36" s="972" t="s">
        <v>230</v>
      </c>
      <c r="Z36" s="915"/>
      <c r="AA36" s="916"/>
      <c r="AC36" s="939" t="s">
        <v>228</v>
      </c>
      <c r="AD36" s="972" t="s">
        <v>230</v>
      </c>
      <c r="AE36" s="915"/>
      <c r="AF36" s="916"/>
      <c r="AH36" s="939" t="s">
        <v>228</v>
      </c>
      <c r="AI36" s="972" t="s">
        <v>230</v>
      </c>
      <c r="AJ36" s="915"/>
      <c r="AK36" s="916"/>
      <c r="AM36" s="939" t="s">
        <v>228</v>
      </c>
      <c r="AN36" s="972" t="s">
        <v>230</v>
      </c>
      <c r="AO36" s="915"/>
      <c r="AP36" s="916"/>
      <c r="AR36" s="939" t="s">
        <v>228</v>
      </c>
      <c r="AS36" s="972" t="s">
        <v>230</v>
      </c>
      <c r="AT36" s="915"/>
      <c r="AU36" s="916"/>
      <c r="AW36" s="939" t="s">
        <v>228</v>
      </c>
      <c r="AX36" s="972" t="s">
        <v>230</v>
      </c>
      <c r="AY36" s="915"/>
      <c r="AZ36" s="916"/>
      <c r="BB36" s="939" t="s">
        <v>228</v>
      </c>
      <c r="BC36" s="972" t="s">
        <v>230</v>
      </c>
      <c r="BD36" s="915"/>
      <c r="BE36" s="916"/>
      <c r="BH36" s="939" t="s">
        <v>228</v>
      </c>
      <c r="BI36" s="972" t="s">
        <v>229</v>
      </c>
      <c r="BJ36" s="915"/>
      <c r="BK36" s="916"/>
    </row>
    <row r="37" spans="1:63">
      <c r="A37" s="907"/>
      <c r="B37" s="949" t="s">
        <v>1517</v>
      </c>
      <c r="C37" s="957">
        <f>IF(NOT(Dashboard!E19=""),Dashboard!E19,IF(AND(D37="",E37=""),"",IF(E37="",D37,E37)))</f>
        <v>34</v>
      </c>
      <c r="D37" s="920">
        <f>IF(INDEX(37:37,$E$2)="","",IF(OR(Dashboard!$E$28="HEV-HP",Dashboard!$E$28="PHEV"),  1.4*INDEX(37:37, $E$2),INDEX(37:37, $E$2) ))</f>
        <v>34</v>
      </c>
      <c r="E37" s="921"/>
      <c r="F37" s="950"/>
      <c r="G37" s="912"/>
      <c r="R37" s="939" t="s">
        <v>265</v>
      </c>
      <c r="S37" s="937">
        <v>25</v>
      </c>
      <c r="T37" s="953"/>
      <c r="U37" s="952"/>
      <c r="V37" s="953"/>
      <c r="X37" s="939" t="s">
        <v>265</v>
      </c>
      <c r="Y37" s="937">
        <v>25</v>
      </c>
      <c r="Z37" s="953"/>
      <c r="AA37" s="952"/>
      <c r="AC37" s="939" t="s">
        <v>265</v>
      </c>
      <c r="AD37" s="937">
        <v>25</v>
      </c>
      <c r="AE37" s="953"/>
      <c r="AF37" s="952"/>
      <c r="AH37" s="939" t="s">
        <v>265</v>
      </c>
      <c r="AI37" s="937">
        <v>34</v>
      </c>
      <c r="AJ37" s="953"/>
      <c r="AK37" s="952"/>
      <c r="AM37" s="939" t="s">
        <v>265</v>
      </c>
      <c r="AN37" s="937">
        <v>25</v>
      </c>
      <c r="AO37" s="953"/>
      <c r="AP37" s="952"/>
      <c r="AR37" s="939" t="s">
        <v>265</v>
      </c>
      <c r="AS37" s="937">
        <v>25</v>
      </c>
      <c r="AT37" s="953"/>
      <c r="AU37" s="952"/>
      <c r="AW37" s="939" t="s">
        <v>265</v>
      </c>
      <c r="AX37" s="937">
        <v>25</v>
      </c>
      <c r="AY37" s="953"/>
      <c r="AZ37" s="952"/>
      <c r="BB37" s="939" t="s">
        <v>265</v>
      </c>
      <c r="BC37" s="937">
        <v>25</v>
      </c>
      <c r="BD37" s="953"/>
      <c r="BE37" s="952"/>
      <c r="BH37" s="939" t="s">
        <v>265</v>
      </c>
      <c r="BI37" s="937">
        <v>40</v>
      </c>
      <c r="BJ37" s="953"/>
      <c r="BK37" s="952"/>
    </row>
    <row r="38" spans="1:63" ht="15">
      <c r="A38" s="907"/>
      <c r="B38" s="954" t="s">
        <v>1343</v>
      </c>
      <c r="C38" s="919" t="str">
        <f t="shared" ref="C38:C39" si="3">IF(AND(D38="",E38=""),"",IF(E38="",D38,E38))</f>
        <v/>
      </c>
      <c r="D38" s="920" t="str">
        <f>IF(INDEX(38:38,$E$2)="","", INDEX(38:38, $E$2))</f>
        <v/>
      </c>
      <c r="E38" s="921"/>
      <c r="F38" s="950"/>
      <c r="G38" s="912"/>
      <c r="R38" s="939" t="s">
        <v>1344</v>
      </c>
      <c r="S38" s="955"/>
      <c r="T38" s="953"/>
      <c r="U38" s="952"/>
      <c r="V38" s="953"/>
      <c r="X38" s="939" t="s">
        <v>1344</v>
      </c>
      <c r="Y38" s="955"/>
      <c r="Z38" s="953"/>
      <c r="AA38" s="952"/>
      <c r="AC38" s="939" t="s">
        <v>1344</v>
      </c>
      <c r="AD38" s="955"/>
      <c r="AE38" s="953"/>
      <c r="AF38" s="952"/>
      <c r="AH38" s="939" t="s">
        <v>1344</v>
      </c>
      <c r="AI38" s="955"/>
      <c r="AJ38" s="953"/>
      <c r="AK38" s="952"/>
      <c r="AM38" s="939" t="s">
        <v>1344</v>
      </c>
      <c r="AN38" s="955"/>
      <c r="AO38" s="953"/>
      <c r="AP38" s="952"/>
      <c r="AR38" s="939" t="s">
        <v>1344</v>
      </c>
      <c r="AS38" s="955"/>
      <c r="AT38" s="953"/>
      <c r="AU38" s="952"/>
      <c r="AW38" s="939" t="s">
        <v>1344</v>
      </c>
      <c r="AX38" s="955"/>
      <c r="AY38" s="953"/>
      <c r="AZ38" s="952"/>
      <c r="BB38" s="939" t="s">
        <v>1344</v>
      </c>
      <c r="BC38" s="955"/>
      <c r="BD38" s="953"/>
      <c r="BE38" s="952"/>
      <c r="BH38" s="939" t="s">
        <v>1344</v>
      </c>
      <c r="BI38" s="955"/>
      <c r="BJ38" s="953"/>
      <c r="BK38" s="952"/>
    </row>
    <row r="39" spans="1:63">
      <c r="A39" s="907"/>
      <c r="B39" s="949" t="s">
        <v>1500</v>
      </c>
      <c r="C39" s="956">
        <f t="shared" si="3"/>
        <v>0.53400000000000003</v>
      </c>
      <c r="D39" s="920">
        <f>IF(INDEX(39:39,$E$2)="","", INDEX(39:39, $E$2))</f>
        <v>2.2400000000000002</v>
      </c>
      <c r="E39" s="921">
        <v>0.53400000000000003</v>
      </c>
      <c r="F39" s="950"/>
      <c r="G39" s="912"/>
      <c r="R39" s="946" t="s">
        <v>6</v>
      </c>
      <c r="S39" s="933">
        <v>2.2400000000000002</v>
      </c>
      <c r="T39" s="953"/>
      <c r="U39" s="952"/>
      <c r="V39" s="953"/>
      <c r="X39" s="946" t="s">
        <v>6</v>
      </c>
      <c r="Y39" s="933">
        <v>2.2400000000000002</v>
      </c>
      <c r="Z39" s="953"/>
      <c r="AA39" s="952"/>
      <c r="AC39" s="946" t="s">
        <v>6</v>
      </c>
      <c r="AD39" s="933">
        <v>2.2400000000000002</v>
      </c>
      <c r="AE39" s="953"/>
      <c r="AF39" s="952"/>
      <c r="AH39" s="946" t="s">
        <v>6</v>
      </c>
      <c r="AI39" s="933">
        <v>2.2400000000000002</v>
      </c>
      <c r="AJ39" s="953"/>
      <c r="AK39" s="952"/>
      <c r="AM39" s="946" t="s">
        <v>6</v>
      </c>
      <c r="AN39" s="933">
        <v>2.2400000000000002</v>
      </c>
      <c r="AO39" s="953"/>
      <c r="AP39" s="952"/>
      <c r="AR39" s="946" t="s">
        <v>6</v>
      </c>
      <c r="AS39" s="933">
        <v>2.2400000000000002</v>
      </c>
      <c r="AT39" s="953"/>
      <c r="AU39" s="952"/>
      <c r="AW39" s="946" t="s">
        <v>6</v>
      </c>
      <c r="AX39" s="933">
        <v>2.2000000000000002</v>
      </c>
      <c r="AY39" s="953"/>
      <c r="AZ39" s="952"/>
      <c r="BB39" s="946" t="s">
        <v>6</v>
      </c>
      <c r="BC39" s="933">
        <v>2.2000000000000002</v>
      </c>
      <c r="BD39" s="953"/>
      <c r="BE39" s="952"/>
      <c r="BH39" s="946" t="s">
        <v>6</v>
      </c>
      <c r="BI39" s="933">
        <v>3.4</v>
      </c>
      <c r="BJ39" s="953"/>
      <c r="BK39" s="952"/>
    </row>
    <row r="40" spans="1:63">
      <c r="A40" s="907"/>
      <c r="B40" s="949" t="s">
        <v>1501</v>
      </c>
      <c r="C40" s="956">
        <f t="shared" ref="C40:C44" si="4">IF(AND(D40="",E40=""),"",IF(E40="",D40,E40))</f>
        <v>1.95</v>
      </c>
      <c r="D40" s="920">
        <f>IF(INDEX(40:40,$E$2)="","", INDEX(40:40, $E$2))</f>
        <v>1.95</v>
      </c>
      <c r="E40" s="921"/>
      <c r="F40" s="950"/>
      <c r="G40" s="912"/>
      <c r="R40" s="935" t="s">
        <v>10</v>
      </c>
      <c r="S40" s="933">
        <v>1.95</v>
      </c>
      <c r="T40" s="953"/>
      <c r="U40" s="952"/>
      <c r="V40" s="953"/>
      <c r="X40" s="935" t="s">
        <v>10</v>
      </c>
      <c r="Y40" s="933">
        <v>1.95</v>
      </c>
      <c r="Z40" s="953"/>
      <c r="AA40" s="952"/>
      <c r="AC40" s="935" t="s">
        <v>10</v>
      </c>
      <c r="AD40" s="933">
        <v>1.95</v>
      </c>
      <c r="AE40" s="953"/>
      <c r="AF40" s="952"/>
      <c r="AH40" s="935" t="s">
        <v>10</v>
      </c>
      <c r="AI40" s="933">
        <v>1.95</v>
      </c>
      <c r="AJ40" s="953"/>
      <c r="AK40" s="952"/>
      <c r="AM40" s="935" t="s">
        <v>10</v>
      </c>
      <c r="AN40" s="933">
        <v>1.95</v>
      </c>
      <c r="AO40" s="953"/>
      <c r="AP40" s="952"/>
      <c r="AR40" s="935" t="s">
        <v>10</v>
      </c>
      <c r="AS40" s="933">
        <v>1.95</v>
      </c>
      <c r="AT40" s="953"/>
      <c r="AU40" s="952"/>
      <c r="AW40" s="935" t="s">
        <v>10</v>
      </c>
      <c r="AX40" s="933">
        <v>1.9</v>
      </c>
      <c r="AY40" s="953"/>
      <c r="AZ40" s="952"/>
      <c r="BB40" s="935" t="s">
        <v>10</v>
      </c>
      <c r="BC40" s="933">
        <v>1.9</v>
      </c>
      <c r="BD40" s="953"/>
      <c r="BE40" s="952"/>
      <c r="BH40" s="935" t="s">
        <v>10</v>
      </c>
      <c r="BI40" s="933">
        <v>1.95</v>
      </c>
      <c r="BJ40" s="953"/>
      <c r="BK40" s="952"/>
    </row>
    <row r="41" spans="1:63">
      <c r="A41" s="907"/>
      <c r="B41" s="949" t="s">
        <v>1502</v>
      </c>
      <c r="C41" s="956">
        <f t="shared" si="4"/>
        <v>1.1000000000000001</v>
      </c>
      <c r="D41" s="920">
        <f>IF(INDEX(41:41,$E$2)="","", INDEX(41:41, $E$2))</f>
        <v>1.1000000000000001</v>
      </c>
      <c r="E41" s="921"/>
      <c r="F41" s="950"/>
      <c r="G41" s="912"/>
      <c r="R41" s="935" t="s">
        <v>11</v>
      </c>
      <c r="S41" s="933">
        <v>1.1000000000000001</v>
      </c>
      <c r="T41" s="973"/>
      <c r="U41" s="952"/>
      <c r="V41" s="953"/>
      <c r="X41" s="935" t="s">
        <v>11</v>
      </c>
      <c r="Y41" s="933">
        <v>1.1000000000000001</v>
      </c>
      <c r="Z41" s="973"/>
      <c r="AA41" s="952"/>
      <c r="AC41" s="935" t="s">
        <v>11</v>
      </c>
      <c r="AD41" s="933">
        <v>1.1000000000000001</v>
      </c>
      <c r="AE41" s="973"/>
      <c r="AF41" s="952"/>
      <c r="AH41" s="935" t="s">
        <v>11</v>
      </c>
      <c r="AI41" s="933">
        <v>1.1000000000000001</v>
      </c>
      <c r="AJ41" s="973"/>
      <c r="AK41" s="952"/>
      <c r="AM41" s="935" t="s">
        <v>11</v>
      </c>
      <c r="AN41" s="933">
        <v>1.1000000000000001</v>
      </c>
      <c r="AO41" s="973"/>
      <c r="AP41" s="952"/>
      <c r="AR41" s="935" t="s">
        <v>11</v>
      </c>
      <c r="AS41" s="933">
        <v>1.1000000000000001</v>
      </c>
      <c r="AT41" s="973"/>
      <c r="AU41" s="952"/>
      <c r="AW41" s="935" t="s">
        <v>11</v>
      </c>
      <c r="AX41" s="933">
        <v>1.8</v>
      </c>
      <c r="AY41" s="973"/>
      <c r="AZ41" s="952"/>
      <c r="BB41" s="935" t="s">
        <v>11</v>
      </c>
      <c r="BC41" s="933">
        <v>1.8</v>
      </c>
      <c r="BD41" s="973"/>
      <c r="BE41" s="952"/>
      <c r="BH41" s="935" t="s">
        <v>11</v>
      </c>
      <c r="BI41" s="933">
        <v>1.1000000000000001</v>
      </c>
      <c r="BJ41" s="973"/>
      <c r="BK41" s="952"/>
    </row>
    <row r="42" spans="1:63" ht="20.25" customHeight="1">
      <c r="A42" s="907"/>
      <c r="B42" s="974" t="s">
        <v>1503</v>
      </c>
      <c r="C42" s="975">
        <f t="shared" si="4"/>
        <v>3600</v>
      </c>
      <c r="D42" s="976">
        <f>IF(INDEX(42:42,$E$2)="","",IF(OR(Dashboard!$E$28="HEV-HP",Dashboard!$E$28="PHEV"),4/3*INDEX(42:42,$E$2),INDEX(42:42,$E$2)))</f>
        <v>3600</v>
      </c>
      <c r="E42" s="921"/>
      <c r="F42" s="962"/>
      <c r="G42" s="912"/>
      <c r="R42" s="963" t="s">
        <v>1347</v>
      </c>
      <c r="S42" s="964">
        <v>3600</v>
      </c>
      <c r="T42" s="965"/>
      <c r="U42" s="916"/>
      <c r="X42" s="963" t="s">
        <v>1347</v>
      </c>
      <c r="Y42" s="964">
        <v>3600</v>
      </c>
      <c r="Z42" s="965"/>
      <c r="AA42" s="916"/>
      <c r="AC42" s="963" t="s">
        <v>1347</v>
      </c>
      <c r="AD42" s="964">
        <v>3600</v>
      </c>
      <c r="AE42" s="965"/>
      <c r="AF42" s="916"/>
      <c r="AH42" s="963" t="s">
        <v>1347</v>
      </c>
      <c r="AI42" s="964">
        <v>3600</v>
      </c>
      <c r="AJ42" s="965"/>
      <c r="AK42" s="916"/>
      <c r="AM42" s="963" t="s">
        <v>1347</v>
      </c>
      <c r="AN42" s="964">
        <v>3600</v>
      </c>
      <c r="AO42" s="965"/>
      <c r="AP42" s="916"/>
      <c r="AR42" s="963" t="s">
        <v>1347</v>
      </c>
      <c r="AS42" s="964">
        <v>3600</v>
      </c>
      <c r="AT42" s="965"/>
      <c r="AU42" s="916"/>
      <c r="AW42" s="963" t="s">
        <v>1347</v>
      </c>
      <c r="AX42" s="964">
        <v>3600</v>
      </c>
      <c r="AY42" s="965"/>
      <c r="AZ42" s="916"/>
      <c r="BB42" s="963" t="s">
        <v>1347</v>
      </c>
      <c r="BC42" s="964">
        <v>3600</v>
      </c>
      <c r="BD42" s="965"/>
      <c r="BE42" s="916"/>
      <c r="BH42" s="963" t="s">
        <v>1347</v>
      </c>
      <c r="BI42" s="964">
        <v>400000</v>
      </c>
      <c r="BJ42" s="965"/>
      <c r="BK42" s="916"/>
    </row>
    <row r="43" spans="1:63">
      <c r="A43" s="907"/>
      <c r="B43" s="930"/>
      <c r="C43" s="919" t="str">
        <f t="shared" si="4"/>
        <v/>
      </c>
      <c r="D43" s="920" t="str">
        <f t="shared" ref="D43:D51" si="5">IF(INDEX(43:43,$E$2)="","", INDEX(43:43, $E$2))</f>
        <v/>
      </c>
      <c r="E43" s="921"/>
      <c r="F43" s="962"/>
      <c r="R43" s="935" t="s">
        <v>1000</v>
      </c>
      <c r="S43" s="955"/>
      <c r="T43" s="965"/>
      <c r="U43" s="916"/>
      <c r="X43" s="935" t="s">
        <v>160</v>
      </c>
      <c r="Y43" s="955"/>
      <c r="Z43" s="965"/>
      <c r="AA43" s="916"/>
      <c r="AC43" s="935" t="s">
        <v>160</v>
      </c>
      <c r="AD43" s="955"/>
      <c r="AE43" s="965"/>
      <c r="AF43" s="916"/>
      <c r="AH43" s="935" t="s">
        <v>160</v>
      </c>
      <c r="AI43" s="955"/>
      <c r="AJ43" s="965"/>
      <c r="AK43" s="916"/>
      <c r="AM43" s="935" t="s">
        <v>160</v>
      </c>
      <c r="AN43" s="955"/>
      <c r="AO43" s="965"/>
      <c r="AP43" s="916"/>
      <c r="AR43" s="935" t="s">
        <v>160</v>
      </c>
      <c r="AS43" s="955"/>
      <c r="AT43" s="965"/>
      <c r="AU43" s="916"/>
      <c r="AW43" s="935" t="s">
        <v>160</v>
      </c>
      <c r="AX43" s="955"/>
      <c r="AY43" s="965"/>
      <c r="AZ43" s="916"/>
      <c r="BB43" s="935" t="s">
        <v>160</v>
      </c>
      <c r="BC43" s="955"/>
      <c r="BD43" s="965"/>
      <c r="BE43" s="916"/>
      <c r="BH43" s="935" t="s">
        <v>160</v>
      </c>
      <c r="BI43" s="955"/>
      <c r="BJ43" s="965"/>
      <c r="BK43" s="916"/>
    </row>
    <row r="44" spans="1:63">
      <c r="A44" s="907" t="s">
        <v>991</v>
      </c>
      <c r="B44" s="949" t="s">
        <v>1117</v>
      </c>
      <c r="C44" s="919" t="str">
        <f t="shared" si="4"/>
        <v>Copper</v>
      </c>
      <c r="D44" s="920" t="str">
        <f t="shared" si="5"/>
        <v>Copper</v>
      </c>
      <c r="E44" s="921"/>
      <c r="F44" s="962"/>
      <c r="R44" s="935" t="s">
        <v>159</v>
      </c>
      <c r="S44" s="937" t="s">
        <v>168</v>
      </c>
      <c r="T44" s="965"/>
      <c r="U44" s="916"/>
      <c r="X44" s="935" t="s">
        <v>159</v>
      </c>
      <c r="Y44" s="937" t="s">
        <v>168</v>
      </c>
      <c r="Z44" s="965"/>
      <c r="AA44" s="916"/>
      <c r="AC44" s="935" t="s">
        <v>159</v>
      </c>
      <c r="AD44" s="937" t="s">
        <v>168</v>
      </c>
      <c r="AE44" s="965"/>
      <c r="AF44" s="916"/>
      <c r="AH44" s="935" t="s">
        <v>159</v>
      </c>
      <c r="AI44" s="937" t="s">
        <v>168</v>
      </c>
      <c r="AJ44" s="965"/>
      <c r="AK44" s="916"/>
      <c r="AM44" s="935" t="s">
        <v>159</v>
      </c>
      <c r="AN44" s="937" t="s">
        <v>168</v>
      </c>
      <c r="AO44" s="965"/>
      <c r="AP44" s="916"/>
      <c r="AR44" s="935" t="s">
        <v>159</v>
      </c>
      <c r="AS44" s="937" t="s">
        <v>168</v>
      </c>
      <c r="AT44" s="965"/>
      <c r="AU44" s="916"/>
      <c r="AW44" s="935" t="s">
        <v>159</v>
      </c>
      <c r="AX44" s="937" t="s">
        <v>168</v>
      </c>
      <c r="AY44" s="965"/>
      <c r="AZ44" s="916"/>
      <c r="BB44" s="935" t="s">
        <v>159</v>
      </c>
      <c r="BC44" s="937" t="s">
        <v>168</v>
      </c>
      <c r="BD44" s="965"/>
      <c r="BE44" s="916"/>
      <c r="BH44" s="935" t="s">
        <v>159</v>
      </c>
      <c r="BI44" s="937" t="s">
        <v>162</v>
      </c>
      <c r="BJ44" s="965"/>
      <c r="BK44" s="916"/>
    </row>
    <row r="45" spans="1:63">
      <c r="A45" s="907" t="s">
        <v>991</v>
      </c>
      <c r="B45" s="949" t="s">
        <v>1116</v>
      </c>
      <c r="C45" s="957">
        <f>IF(NOT(Dashboard!E20=""),Dashboard!E20,IF(AND(D45="",E45=""),"",IF(E45="",D45,E45)))</f>
        <v>10</v>
      </c>
      <c r="D45" s="958">
        <f t="shared" si="5"/>
        <v>10</v>
      </c>
      <c r="E45" s="921"/>
      <c r="F45" s="962"/>
      <c r="R45" s="935" t="s">
        <v>1017</v>
      </c>
      <c r="S45" s="937">
        <v>10</v>
      </c>
      <c r="T45" s="965"/>
      <c r="U45" s="916"/>
      <c r="X45" s="935" t="s">
        <v>1017</v>
      </c>
      <c r="Y45" s="937">
        <v>10</v>
      </c>
      <c r="Z45" s="965"/>
      <c r="AA45" s="916"/>
      <c r="AC45" s="935" t="s">
        <v>1017</v>
      </c>
      <c r="AD45" s="937">
        <v>10</v>
      </c>
      <c r="AE45" s="965"/>
      <c r="AF45" s="916"/>
      <c r="AH45" s="935" t="s">
        <v>1017</v>
      </c>
      <c r="AI45" s="937">
        <v>10</v>
      </c>
      <c r="AJ45" s="965"/>
      <c r="AK45" s="916"/>
      <c r="AM45" s="935" t="s">
        <v>1017</v>
      </c>
      <c r="AN45" s="937">
        <v>10</v>
      </c>
      <c r="AO45" s="965"/>
      <c r="AP45" s="916"/>
      <c r="AR45" s="935" t="s">
        <v>1017</v>
      </c>
      <c r="AS45" s="937">
        <v>10</v>
      </c>
      <c r="AT45" s="965"/>
      <c r="AU45" s="916"/>
      <c r="AW45" s="935" t="s">
        <v>1017</v>
      </c>
      <c r="AX45" s="937">
        <v>10</v>
      </c>
      <c r="AY45" s="965"/>
      <c r="AZ45" s="916"/>
      <c r="BB45" s="935" t="s">
        <v>1017</v>
      </c>
      <c r="BC45" s="937">
        <v>10</v>
      </c>
      <c r="BD45" s="965"/>
      <c r="BE45" s="916"/>
      <c r="BH45" s="935" t="s">
        <v>1017</v>
      </c>
      <c r="BI45" s="937">
        <v>15</v>
      </c>
      <c r="BJ45" s="965"/>
      <c r="BK45" s="916"/>
    </row>
    <row r="46" spans="1:63">
      <c r="A46" s="907"/>
      <c r="B46" s="930"/>
      <c r="C46" s="919"/>
      <c r="D46" s="920"/>
      <c r="E46" s="921"/>
      <c r="F46" s="962"/>
      <c r="G46" s="912"/>
      <c r="R46" s="914"/>
      <c r="S46" s="915"/>
      <c r="T46" s="915"/>
      <c r="U46" s="916"/>
      <c r="X46" s="914"/>
      <c r="Y46" s="915"/>
      <c r="Z46" s="915"/>
      <c r="AA46" s="916"/>
      <c r="AC46" s="914"/>
      <c r="AD46" s="915"/>
      <c r="AE46" s="915"/>
      <c r="AF46" s="916"/>
      <c r="AH46" s="914"/>
      <c r="AI46" s="915"/>
      <c r="AJ46" s="915"/>
      <c r="AK46" s="916"/>
      <c r="AM46" s="914"/>
      <c r="AN46" s="915"/>
      <c r="AO46" s="915"/>
      <c r="AP46" s="916"/>
      <c r="AR46" s="914"/>
      <c r="AS46" s="915"/>
      <c r="AT46" s="915"/>
      <c r="AU46" s="916"/>
      <c r="AW46" s="914"/>
      <c r="AX46" s="915"/>
      <c r="AY46" s="915"/>
      <c r="AZ46" s="916"/>
      <c r="BB46" s="914"/>
      <c r="BC46" s="915"/>
      <c r="BD46" s="915"/>
      <c r="BE46" s="916"/>
      <c r="BH46" s="914"/>
      <c r="BI46" s="915"/>
      <c r="BJ46" s="915"/>
      <c r="BK46" s="916"/>
    </row>
    <row r="47" spans="1:63">
      <c r="A47" s="907"/>
      <c r="B47" s="930"/>
      <c r="C47" s="919"/>
      <c r="D47" s="920"/>
      <c r="E47" s="921"/>
      <c r="F47" s="962"/>
      <c r="G47" s="912"/>
      <c r="R47" s="914"/>
      <c r="S47" s="915"/>
      <c r="T47" s="915"/>
      <c r="U47" s="916"/>
      <c r="X47" s="914"/>
      <c r="Y47" s="915"/>
      <c r="Z47" s="915"/>
      <c r="AA47" s="916"/>
      <c r="AC47" s="914"/>
      <c r="AD47" s="915"/>
      <c r="AE47" s="915"/>
      <c r="AF47" s="916"/>
      <c r="AH47" s="914"/>
      <c r="AI47" s="915"/>
      <c r="AJ47" s="915"/>
      <c r="AK47" s="916"/>
      <c r="AM47" s="914"/>
      <c r="AN47" s="915"/>
      <c r="AO47" s="915"/>
      <c r="AP47" s="916"/>
      <c r="AR47" s="914"/>
      <c r="AS47" s="915"/>
      <c r="AT47" s="915"/>
      <c r="AU47" s="916"/>
      <c r="AW47" s="914"/>
      <c r="AX47" s="915"/>
      <c r="AY47" s="915"/>
      <c r="AZ47" s="916"/>
      <c r="BB47" s="914"/>
      <c r="BC47" s="915"/>
      <c r="BD47" s="915"/>
      <c r="BE47" s="916"/>
      <c r="BH47" s="914"/>
      <c r="BI47" s="915"/>
      <c r="BJ47" s="915"/>
      <c r="BK47" s="916"/>
    </row>
    <row r="48" spans="1:63" ht="16">
      <c r="A48" s="907"/>
      <c r="B48" s="1052" t="s">
        <v>161</v>
      </c>
      <c r="C48" s="919"/>
      <c r="D48" s="920"/>
      <c r="E48" s="921"/>
      <c r="F48" s="962"/>
      <c r="G48" s="912"/>
      <c r="R48" s="977" t="s">
        <v>161</v>
      </c>
      <c r="S48" s="937"/>
      <c r="T48" s="965"/>
      <c r="U48" s="916"/>
      <c r="X48" s="977" t="s">
        <v>161</v>
      </c>
      <c r="Y48" s="937"/>
      <c r="Z48" s="965"/>
      <c r="AA48" s="916"/>
      <c r="AC48" s="977" t="s">
        <v>161</v>
      </c>
      <c r="AD48" s="937"/>
      <c r="AE48" s="965"/>
      <c r="AF48" s="916"/>
      <c r="AH48" s="977" t="s">
        <v>161</v>
      </c>
      <c r="AI48" s="937"/>
      <c r="AJ48" s="965"/>
      <c r="AK48" s="916"/>
      <c r="AM48" s="977" t="s">
        <v>161</v>
      </c>
      <c r="AN48" s="937"/>
      <c r="AO48" s="965"/>
      <c r="AP48" s="916"/>
      <c r="AR48" s="977" t="s">
        <v>161</v>
      </c>
      <c r="AS48" s="937"/>
      <c r="AT48" s="965"/>
      <c r="AU48" s="916"/>
      <c r="AW48" s="977" t="s">
        <v>161</v>
      </c>
      <c r="AX48" s="937"/>
      <c r="AY48" s="965"/>
      <c r="AZ48" s="916"/>
      <c r="BB48" s="977" t="s">
        <v>161</v>
      </c>
      <c r="BC48" s="937"/>
      <c r="BD48" s="965"/>
      <c r="BE48" s="916"/>
      <c r="BH48" s="977" t="s">
        <v>161</v>
      </c>
      <c r="BI48" s="937"/>
      <c r="BJ48" s="965"/>
      <c r="BK48" s="916"/>
    </row>
    <row r="49" spans="1:63">
      <c r="A49" s="907" t="s">
        <v>991</v>
      </c>
      <c r="B49" s="949" t="s">
        <v>1348</v>
      </c>
      <c r="C49" s="956">
        <f>IF(NOT(Dashboard!E22=""),Dashboard!E22,IF(AND(D49="",E49=""),"",IF(E49="",D49,E49)))</f>
        <v>20</v>
      </c>
      <c r="D49" s="958">
        <f t="shared" si="5"/>
        <v>15</v>
      </c>
      <c r="E49" s="921"/>
      <c r="F49" s="962"/>
      <c r="G49" s="912"/>
      <c r="R49" s="935" t="s">
        <v>1017</v>
      </c>
      <c r="S49" s="937">
        <v>15</v>
      </c>
      <c r="T49" s="965"/>
      <c r="U49" s="916"/>
      <c r="X49" s="935" t="s">
        <v>1017</v>
      </c>
      <c r="Y49" s="937">
        <v>15</v>
      </c>
      <c r="Z49" s="965"/>
      <c r="AA49" s="916"/>
      <c r="AC49" s="935" t="s">
        <v>1017</v>
      </c>
      <c r="AD49" s="937">
        <v>15</v>
      </c>
      <c r="AE49" s="965"/>
      <c r="AF49" s="916"/>
      <c r="AH49" s="935" t="s">
        <v>1017</v>
      </c>
      <c r="AI49" s="937">
        <v>15</v>
      </c>
      <c r="AJ49" s="965"/>
      <c r="AK49" s="916"/>
      <c r="AM49" s="935" t="s">
        <v>1017</v>
      </c>
      <c r="AN49" s="937">
        <v>15</v>
      </c>
      <c r="AO49" s="965"/>
      <c r="AP49" s="916"/>
      <c r="AR49" s="935" t="s">
        <v>1017</v>
      </c>
      <c r="AS49" s="937">
        <v>15</v>
      </c>
      <c r="AT49" s="965"/>
      <c r="AU49" s="916"/>
      <c r="AW49" s="935" t="s">
        <v>1017</v>
      </c>
      <c r="AX49" s="937">
        <v>15</v>
      </c>
      <c r="AY49" s="965"/>
      <c r="AZ49" s="916"/>
      <c r="BB49" s="935" t="s">
        <v>1017</v>
      </c>
      <c r="BC49" s="937">
        <v>15</v>
      </c>
      <c r="BD49" s="965"/>
      <c r="BE49" s="916"/>
      <c r="BH49" s="935" t="s">
        <v>1017</v>
      </c>
      <c r="BI49" s="937">
        <v>15</v>
      </c>
      <c r="BJ49" s="965"/>
      <c r="BK49" s="916"/>
    </row>
    <row r="50" spans="1:63">
      <c r="A50" s="907"/>
      <c r="B50" s="949" t="s">
        <v>1118</v>
      </c>
      <c r="C50" s="957">
        <f>IF(AND(D50="",E50=""),"",IF(E50="",D50,E50))</f>
        <v>4</v>
      </c>
      <c r="D50" s="944">
        <f t="shared" si="5"/>
        <v>50</v>
      </c>
      <c r="E50" s="921">
        <v>4</v>
      </c>
      <c r="F50" s="962"/>
      <c r="G50" s="912"/>
      <c r="R50" s="935" t="s">
        <v>265</v>
      </c>
      <c r="S50" s="937">
        <v>50</v>
      </c>
      <c r="T50" s="965"/>
      <c r="U50" s="916"/>
      <c r="X50" s="935" t="s">
        <v>265</v>
      </c>
      <c r="Y50" s="937">
        <v>50</v>
      </c>
      <c r="Z50" s="965"/>
      <c r="AA50" s="916"/>
      <c r="AC50" s="935" t="s">
        <v>265</v>
      </c>
      <c r="AD50" s="937">
        <v>50</v>
      </c>
      <c r="AE50" s="965"/>
      <c r="AF50" s="916"/>
      <c r="AH50" s="935" t="s">
        <v>265</v>
      </c>
      <c r="AI50" s="937">
        <v>50</v>
      </c>
      <c r="AJ50" s="965"/>
      <c r="AK50" s="916"/>
      <c r="AM50" s="935" t="s">
        <v>265</v>
      </c>
      <c r="AN50" s="937">
        <v>50</v>
      </c>
      <c r="AO50" s="965"/>
      <c r="AP50" s="916"/>
      <c r="AR50" s="935" t="s">
        <v>265</v>
      </c>
      <c r="AS50" s="937">
        <v>50</v>
      </c>
      <c r="AT50" s="965"/>
      <c r="AU50" s="916"/>
      <c r="AW50" s="935" t="s">
        <v>265</v>
      </c>
      <c r="AX50" s="937">
        <v>39</v>
      </c>
      <c r="AY50" s="965"/>
      <c r="AZ50" s="916"/>
      <c r="BB50" s="935" t="s">
        <v>265</v>
      </c>
      <c r="BC50" s="937">
        <v>39</v>
      </c>
      <c r="BD50" s="965"/>
      <c r="BE50" s="916"/>
      <c r="BH50" s="935" t="s">
        <v>265</v>
      </c>
      <c r="BI50" s="937">
        <v>50</v>
      </c>
      <c r="BJ50" s="965"/>
      <c r="BK50" s="916"/>
    </row>
    <row r="51" spans="1:63" ht="15">
      <c r="A51" s="907"/>
      <c r="B51" s="959" t="s">
        <v>1504</v>
      </c>
      <c r="C51" s="956">
        <f>IF(AND(D51="",E51=""),"",IF(E51="",D51,E51))</f>
        <v>5.0999999999999996</v>
      </c>
      <c r="D51" s="920">
        <f t="shared" si="5"/>
        <v>0.45</v>
      </c>
      <c r="E51" s="921">
        <v>5.0999999999999996</v>
      </c>
      <c r="F51" s="962"/>
      <c r="G51" s="912"/>
      <c r="R51" s="963" t="s">
        <v>1349</v>
      </c>
      <c r="S51" s="933">
        <f>(1-S50/100)*_rho_PP</f>
        <v>0.45</v>
      </c>
      <c r="T51" s="965"/>
      <c r="U51" s="916"/>
      <c r="X51" s="963" t="s">
        <v>1349</v>
      </c>
      <c r="Y51" s="933">
        <f>(1-Y50/100)*_rho_PP</f>
        <v>0.45</v>
      </c>
      <c r="Z51" s="965"/>
      <c r="AA51" s="916"/>
      <c r="AC51" s="963" t="s">
        <v>1349</v>
      </c>
      <c r="AD51" s="933">
        <f>(1-AD50/100)*_rho_PP</f>
        <v>0.45</v>
      </c>
      <c r="AE51" s="965"/>
      <c r="AF51" s="916"/>
      <c r="AH51" s="963" t="s">
        <v>1349</v>
      </c>
      <c r="AI51" s="933">
        <f>(1-AI50/100)*_rho_PP</f>
        <v>0.45</v>
      </c>
      <c r="AJ51" s="965"/>
      <c r="AK51" s="916"/>
      <c r="AM51" s="963" t="s">
        <v>1349</v>
      </c>
      <c r="AN51" s="933">
        <f>(1-AN50/100)*_rho_PP</f>
        <v>0.45</v>
      </c>
      <c r="AO51" s="965"/>
      <c r="AP51" s="916"/>
      <c r="AR51" s="963" t="s">
        <v>1349</v>
      </c>
      <c r="AS51" s="933">
        <f>(1-AS50/100)*_rho_PP</f>
        <v>0.45</v>
      </c>
      <c r="AT51" s="965"/>
      <c r="AU51" s="916"/>
      <c r="AW51" s="963" t="s">
        <v>1349</v>
      </c>
      <c r="AX51" s="933">
        <f>(1-AX50/100)*_rho_PP</f>
        <v>0.54900000000000004</v>
      </c>
      <c r="AY51" s="965"/>
      <c r="AZ51" s="916"/>
      <c r="BB51" s="963" t="s">
        <v>1349</v>
      </c>
      <c r="BC51" s="933">
        <f>(1-BC50/100)*0.92</f>
        <v>0.56120000000000003</v>
      </c>
      <c r="BD51" s="965"/>
      <c r="BE51" s="916"/>
      <c r="BH51" s="963" t="s">
        <v>1349</v>
      </c>
      <c r="BI51" s="933">
        <f>(1-BI50/100)*_rho_PP</f>
        <v>0.45</v>
      </c>
      <c r="BJ51" s="965"/>
      <c r="BK51" s="916"/>
    </row>
    <row r="52" spans="1:63">
      <c r="A52" s="907"/>
      <c r="B52" s="959"/>
      <c r="C52" s="919"/>
      <c r="D52" s="920"/>
      <c r="E52" s="921"/>
      <c r="F52" s="962"/>
      <c r="G52" s="912"/>
      <c r="R52" s="963"/>
      <c r="S52" s="933"/>
      <c r="T52" s="965"/>
      <c r="U52" s="916"/>
      <c r="X52" s="963"/>
      <c r="Y52" s="933"/>
      <c r="Z52" s="965"/>
      <c r="AA52" s="916"/>
      <c r="AC52" s="963"/>
      <c r="AD52" s="933"/>
      <c r="AE52" s="965"/>
      <c r="AF52" s="916"/>
      <c r="AH52" s="963"/>
      <c r="AI52" s="933"/>
      <c r="AJ52" s="965"/>
      <c r="AK52" s="916"/>
      <c r="AM52" s="963"/>
      <c r="AN52" s="933"/>
      <c r="AO52" s="965"/>
      <c r="AP52" s="916"/>
      <c r="AR52" s="963"/>
      <c r="AS52" s="933"/>
      <c r="AT52" s="965"/>
      <c r="AU52" s="916"/>
      <c r="AW52" s="963"/>
      <c r="AX52" s="933"/>
      <c r="AY52" s="965"/>
      <c r="AZ52" s="916"/>
      <c r="BB52" s="963"/>
      <c r="BC52" s="933"/>
      <c r="BD52" s="965"/>
      <c r="BE52" s="916"/>
      <c r="BH52" s="963"/>
      <c r="BI52" s="933"/>
      <c r="BJ52" s="965"/>
      <c r="BK52" s="916"/>
    </row>
    <row r="53" spans="1:63" ht="16">
      <c r="A53" s="907"/>
      <c r="B53" s="1052" t="s">
        <v>932</v>
      </c>
      <c r="C53" s="919"/>
      <c r="D53" s="920"/>
      <c r="E53" s="921"/>
      <c r="F53" s="962"/>
      <c r="G53" s="912"/>
      <c r="R53" s="963"/>
      <c r="S53" s="933"/>
      <c r="T53" s="965"/>
      <c r="U53" s="916"/>
      <c r="X53" s="963"/>
      <c r="Y53" s="933"/>
      <c r="Z53" s="965"/>
      <c r="AA53" s="916"/>
      <c r="AC53" s="963"/>
      <c r="AD53" s="933"/>
      <c r="AE53" s="965"/>
      <c r="AF53" s="916"/>
      <c r="AH53" s="963"/>
      <c r="AI53" s="933"/>
      <c r="AJ53" s="965"/>
      <c r="AK53" s="916"/>
      <c r="AM53" s="963"/>
      <c r="AN53" s="933"/>
      <c r="AO53" s="965"/>
      <c r="AP53" s="916"/>
      <c r="AR53" s="963"/>
      <c r="AS53" s="933"/>
      <c r="AT53" s="965"/>
      <c r="AU53" s="916"/>
      <c r="AW53" s="963"/>
      <c r="AX53" s="933"/>
      <c r="AY53" s="965"/>
      <c r="AZ53" s="916"/>
      <c r="BB53" s="963"/>
      <c r="BC53" s="933"/>
      <c r="BD53" s="965"/>
      <c r="BE53" s="916"/>
      <c r="BH53" s="963"/>
      <c r="BI53" s="933"/>
      <c r="BJ53" s="965"/>
      <c r="BK53" s="916"/>
    </row>
    <row r="54" spans="1:63" ht="15">
      <c r="A54" s="907"/>
      <c r="B54" s="930" t="s">
        <v>1505</v>
      </c>
      <c r="C54" s="919">
        <f>IF(AND(D54="",E54=""),"",IF(E54="",D54,E54))</f>
        <v>1.2</v>
      </c>
      <c r="D54" s="920">
        <f>IF(INDEX(54:54,$E$2)="","", INDEX(54:54, $E$2))</f>
        <v>1.2</v>
      </c>
      <c r="E54" s="921"/>
      <c r="F54" s="962"/>
      <c r="G54" s="912"/>
      <c r="R54" s="978" t="s">
        <v>1350</v>
      </c>
      <c r="S54" s="933">
        <v>1.2</v>
      </c>
      <c r="T54" s="965"/>
      <c r="U54" s="916"/>
      <c r="X54" s="978" t="s">
        <v>1350</v>
      </c>
      <c r="Y54" s="933">
        <v>1.2</v>
      </c>
      <c r="Z54" s="965"/>
      <c r="AA54" s="916"/>
      <c r="AC54" s="978" t="s">
        <v>1350</v>
      </c>
      <c r="AD54" s="933">
        <v>1.2</v>
      </c>
      <c r="AE54" s="965"/>
      <c r="AF54" s="916"/>
      <c r="AH54" s="978" t="s">
        <v>1350</v>
      </c>
      <c r="AI54" s="933">
        <v>1.2</v>
      </c>
      <c r="AJ54" s="965"/>
      <c r="AK54" s="916"/>
      <c r="AM54" s="978" t="s">
        <v>1350</v>
      </c>
      <c r="AN54" s="933">
        <v>1.2</v>
      </c>
      <c r="AO54" s="965"/>
      <c r="AP54" s="916"/>
      <c r="AR54" s="978" t="s">
        <v>1350</v>
      </c>
      <c r="AS54" s="933">
        <v>1.2</v>
      </c>
      <c r="AT54" s="965"/>
      <c r="AU54" s="916"/>
      <c r="AW54" s="978" t="s">
        <v>1350</v>
      </c>
      <c r="AX54" s="933">
        <v>1.2</v>
      </c>
      <c r="AY54" s="965"/>
      <c r="AZ54" s="916"/>
      <c r="BB54" s="978" t="s">
        <v>1350</v>
      </c>
      <c r="BC54" s="933">
        <v>1.2</v>
      </c>
      <c r="BD54" s="965"/>
      <c r="BE54" s="916"/>
      <c r="BH54" s="978" t="s">
        <v>1350</v>
      </c>
      <c r="BI54" s="933">
        <v>1.2</v>
      </c>
      <c r="BJ54" s="965"/>
      <c r="BK54" s="916"/>
    </row>
    <row r="55" spans="1:63">
      <c r="A55" s="907"/>
      <c r="B55" s="930" t="s">
        <v>635</v>
      </c>
      <c r="C55" s="919">
        <f>IF(AND(D55="",E55=""),"",IF(E55="",D55,E55))</f>
        <v>8.3279999999999994</v>
      </c>
      <c r="D55" s="920">
        <f>IF(INDEX(55:55,$E$2)="","", INDEX(55:55, $E$2))</f>
        <v>8.3279999999999994</v>
      </c>
      <c r="E55" s="921"/>
      <c r="F55" s="979"/>
      <c r="R55" s="914" t="s">
        <v>635</v>
      </c>
      <c r="S55" s="980">
        <f>1.2*6.94</f>
        <v>8.3279999999999994</v>
      </c>
      <c r="T55" s="965"/>
      <c r="U55" s="981"/>
      <c r="V55" s="965"/>
      <c r="X55" s="914" t="s">
        <v>635</v>
      </c>
      <c r="Y55" s="980">
        <f>1.2*6.94</f>
        <v>8.3279999999999994</v>
      </c>
      <c r="Z55" s="965"/>
      <c r="AA55" s="981"/>
      <c r="AC55" s="914" t="s">
        <v>635</v>
      </c>
      <c r="AD55" s="980">
        <f>1.2*6.94</f>
        <v>8.3279999999999994</v>
      </c>
      <c r="AE55" s="965"/>
      <c r="AF55" s="981"/>
      <c r="AH55" s="914" t="s">
        <v>635</v>
      </c>
      <c r="AI55" s="980">
        <f>1.2*6.94</f>
        <v>8.3279999999999994</v>
      </c>
      <c r="AJ55" s="965"/>
      <c r="AK55" s="981"/>
      <c r="AM55" s="914" t="s">
        <v>635</v>
      </c>
      <c r="AN55" s="980">
        <f>1.2*6.94</f>
        <v>8.3279999999999994</v>
      </c>
      <c r="AO55" s="965"/>
      <c r="AP55" s="981"/>
      <c r="AR55" s="914" t="s">
        <v>635</v>
      </c>
      <c r="AS55" s="980">
        <v>8.3279999999999994</v>
      </c>
      <c r="AT55" s="965"/>
      <c r="AU55" s="981"/>
      <c r="AW55" s="914" t="s">
        <v>635</v>
      </c>
      <c r="AX55" s="980">
        <f>1.2*6.94</f>
        <v>8.3279999999999994</v>
      </c>
      <c r="AY55" s="965"/>
      <c r="AZ55" s="981"/>
      <c r="BB55" s="914" t="s">
        <v>635</v>
      </c>
      <c r="BC55" s="980">
        <f>1.2*6.94</f>
        <v>8.3279999999999994</v>
      </c>
      <c r="BD55" s="965"/>
      <c r="BE55" s="981"/>
      <c r="BH55" s="914" t="s">
        <v>635</v>
      </c>
      <c r="BI55" s="980">
        <f>1.2*6.94</f>
        <v>8.3279999999999994</v>
      </c>
      <c r="BJ55" s="965"/>
      <c r="BK55" s="981"/>
    </row>
    <row r="56" spans="1:63">
      <c r="A56" s="907"/>
      <c r="B56" s="959" t="s">
        <v>1026</v>
      </c>
      <c r="C56" s="919">
        <f>IF(AND(D56="",E56=""),"",IF(E56="",D56,E56))</f>
        <v>100</v>
      </c>
      <c r="D56" s="920">
        <v>100</v>
      </c>
      <c r="E56" s="921"/>
      <c r="F56" s="962"/>
      <c r="G56" s="912"/>
      <c r="R56" s="963"/>
      <c r="S56" s="933"/>
      <c r="T56" s="965"/>
      <c r="U56" s="916"/>
      <c r="X56" s="963"/>
      <c r="Y56" s="933"/>
      <c r="Z56" s="965"/>
      <c r="AA56" s="916"/>
      <c r="AC56" s="963"/>
      <c r="AD56" s="933"/>
      <c r="AE56" s="965"/>
      <c r="AF56" s="916"/>
      <c r="AH56" s="963"/>
      <c r="AI56" s="933"/>
      <c r="AJ56" s="965"/>
      <c r="AK56" s="916"/>
      <c r="AM56" s="963"/>
      <c r="AN56" s="933"/>
      <c r="AO56" s="965"/>
      <c r="AP56" s="916"/>
      <c r="AR56" s="963"/>
      <c r="AS56" s="933"/>
      <c r="AT56" s="965"/>
      <c r="AU56" s="916"/>
      <c r="AW56" s="963"/>
      <c r="AX56" s="933"/>
      <c r="AY56" s="965"/>
      <c r="AZ56" s="916"/>
      <c r="BB56" s="963"/>
      <c r="BC56" s="933"/>
      <c r="BD56" s="965"/>
      <c r="BE56" s="916"/>
      <c r="BH56" s="963"/>
      <c r="BI56" s="933"/>
      <c r="BJ56" s="965"/>
      <c r="BK56" s="916"/>
    </row>
    <row r="57" spans="1:63">
      <c r="A57" s="907"/>
      <c r="B57" s="959"/>
      <c r="C57" s="919"/>
      <c r="D57" s="920"/>
      <c r="E57" s="921"/>
      <c r="F57" s="962"/>
      <c r="G57" s="912"/>
      <c r="R57" s="963"/>
      <c r="S57" s="933"/>
      <c r="T57" s="965"/>
      <c r="U57" s="916"/>
      <c r="X57" s="963"/>
      <c r="Y57" s="933"/>
      <c r="Z57" s="965"/>
      <c r="AA57" s="916"/>
      <c r="AC57" s="963"/>
      <c r="AD57" s="933"/>
      <c r="AE57" s="965"/>
      <c r="AF57" s="916"/>
      <c r="AH57" s="963"/>
      <c r="AI57" s="933"/>
      <c r="AJ57" s="965"/>
      <c r="AK57" s="916"/>
      <c r="AM57" s="963"/>
      <c r="AN57" s="933"/>
      <c r="AO57" s="965"/>
      <c r="AP57" s="916"/>
      <c r="AR57" s="963"/>
      <c r="AS57" s="933"/>
      <c r="AT57" s="965"/>
      <c r="AU57" s="916"/>
      <c r="AW57" s="963"/>
      <c r="AX57" s="933"/>
      <c r="AY57" s="965"/>
      <c r="AZ57" s="916"/>
      <c r="BB57" s="963"/>
      <c r="BC57" s="933"/>
      <c r="BD57" s="965"/>
      <c r="BE57" s="916"/>
      <c r="BH57" s="963"/>
      <c r="BI57" s="933"/>
      <c r="BJ57" s="965"/>
      <c r="BK57" s="916"/>
    </row>
    <row r="58" spans="1:63">
      <c r="A58" s="907"/>
      <c r="B58" s="930"/>
      <c r="C58" s="982"/>
      <c r="D58" s="982"/>
      <c r="E58" s="921"/>
      <c r="F58" s="962"/>
      <c r="R58" s="914"/>
      <c r="S58" s="915"/>
      <c r="T58" s="915"/>
      <c r="U58" s="916"/>
      <c r="X58" s="914"/>
      <c r="Y58" s="915"/>
      <c r="Z58" s="915"/>
      <c r="AA58" s="916"/>
      <c r="AC58" s="914"/>
      <c r="AD58" s="915"/>
      <c r="AE58" s="915"/>
      <c r="AF58" s="916"/>
      <c r="AH58" s="914"/>
      <c r="AI58" s="915"/>
      <c r="AJ58" s="915"/>
      <c r="AK58" s="916"/>
      <c r="AM58" s="914"/>
      <c r="AN58" s="915"/>
      <c r="AO58" s="915"/>
      <c r="AP58" s="916"/>
      <c r="AR58" s="914"/>
      <c r="AS58" s="915"/>
      <c r="AT58" s="915"/>
      <c r="AU58" s="916"/>
      <c r="AW58" s="914"/>
      <c r="AX58" s="915"/>
      <c r="AY58" s="915"/>
      <c r="AZ58" s="916"/>
      <c r="BB58" s="914"/>
      <c r="BC58" s="915"/>
      <c r="BD58" s="915"/>
      <c r="BE58" s="916"/>
      <c r="BH58" s="914"/>
      <c r="BI58" s="915"/>
      <c r="BJ58" s="915"/>
      <c r="BK58" s="916"/>
    </row>
    <row r="59" spans="1:63" ht="16">
      <c r="A59" s="907"/>
      <c r="B59" s="1053" t="s">
        <v>937</v>
      </c>
      <c r="C59" s="919"/>
      <c r="D59" s="920"/>
      <c r="E59" s="921"/>
      <c r="F59" s="962"/>
      <c r="G59" s="912"/>
      <c r="R59" s="968" t="s">
        <v>21</v>
      </c>
      <c r="S59" s="937"/>
      <c r="T59" s="965"/>
      <c r="U59" s="916"/>
      <c r="X59" s="968" t="s">
        <v>21</v>
      </c>
      <c r="Y59" s="937"/>
      <c r="Z59" s="965"/>
      <c r="AA59" s="916"/>
      <c r="AC59" s="968" t="s">
        <v>21</v>
      </c>
      <c r="AD59" s="937"/>
      <c r="AE59" s="965"/>
      <c r="AF59" s="916"/>
      <c r="AH59" s="968" t="s">
        <v>21</v>
      </c>
      <c r="AI59" s="937"/>
      <c r="AJ59" s="965"/>
      <c r="AK59" s="916"/>
      <c r="AM59" s="968" t="s">
        <v>21</v>
      </c>
      <c r="AN59" s="937"/>
      <c r="AO59" s="965"/>
      <c r="AP59" s="916"/>
      <c r="AR59" s="968" t="s">
        <v>21</v>
      </c>
      <c r="AS59" s="937"/>
      <c r="AT59" s="965"/>
      <c r="AU59" s="916"/>
      <c r="AW59" s="968" t="s">
        <v>21</v>
      </c>
      <c r="AX59" s="937"/>
      <c r="AY59" s="965"/>
      <c r="AZ59" s="916"/>
      <c r="BB59" s="968" t="s">
        <v>21</v>
      </c>
      <c r="BC59" s="937"/>
      <c r="BD59" s="965"/>
      <c r="BE59" s="916"/>
      <c r="BH59" s="968" t="s">
        <v>21</v>
      </c>
      <c r="BI59" s="937"/>
      <c r="BJ59" s="965"/>
      <c r="BK59" s="916"/>
    </row>
    <row r="60" spans="1:63">
      <c r="A60" s="907"/>
      <c r="B60" s="949" t="s">
        <v>631</v>
      </c>
      <c r="C60" s="956">
        <f t="shared" ref="C60:C65" si="6">IF(AND(D60="",E60=""),"",IF(E60="",D60,E60))</f>
        <v>3.246</v>
      </c>
      <c r="D60" s="920">
        <f>IF(INDEX(60:60,$E$2)="","", INDEX(60:60, $E$2) - IF($C$28 = "Yes", 0.05, 0))</f>
        <v>3.246</v>
      </c>
      <c r="E60" s="921"/>
      <c r="F60" s="962"/>
      <c r="G60" s="912"/>
      <c r="R60" s="935" t="s">
        <v>631</v>
      </c>
      <c r="S60" s="983">
        <v>3.5510000000000002</v>
      </c>
      <c r="T60" s="965"/>
      <c r="U60" s="916"/>
      <c r="X60" s="935" t="s">
        <v>631</v>
      </c>
      <c r="Y60" s="983">
        <v>3.5649999999999999</v>
      </c>
      <c r="Z60" s="965"/>
      <c r="AA60" s="916"/>
      <c r="AC60" s="935" t="s">
        <v>631</v>
      </c>
      <c r="AD60" s="983">
        <v>3.516</v>
      </c>
      <c r="AE60" s="965"/>
      <c r="AF60" s="916"/>
      <c r="AH60" s="935" t="s">
        <v>631</v>
      </c>
      <c r="AI60" s="983">
        <v>3.246</v>
      </c>
      <c r="AJ60" s="965"/>
      <c r="AK60" s="916"/>
      <c r="AM60" s="935" t="s">
        <v>631</v>
      </c>
      <c r="AN60" s="983">
        <v>3.8260000000000001</v>
      </c>
      <c r="AO60" s="965"/>
      <c r="AP60" s="916"/>
      <c r="AR60" s="935" t="s">
        <v>631</v>
      </c>
      <c r="AS60" s="937">
        <f>INDEX(R60:FB60, MATCH($AU$7, $R$6:$FB$6, 0))*$AU$8 + INDEX(R60:FB60, MATCH($AU$9, $R$6:$FB$6, 0))*(1-$AU$8)</f>
        <v>3.698</v>
      </c>
      <c r="AT60" s="965"/>
      <c r="AU60" s="916"/>
      <c r="AW60" s="935" t="s">
        <v>631</v>
      </c>
      <c r="AX60" s="983">
        <v>3.57</v>
      </c>
      <c r="AY60" s="965"/>
      <c r="AZ60" s="916"/>
      <c r="BB60" s="935" t="s">
        <v>631</v>
      </c>
      <c r="BC60" s="983">
        <v>3.57</v>
      </c>
      <c r="BD60" s="965"/>
      <c r="BE60" s="916"/>
      <c r="BH60" s="935" t="s">
        <v>631</v>
      </c>
      <c r="BI60" s="983">
        <v>2.4079999999999999</v>
      </c>
      <c r="BJ60" s="965"/>
      <c r="BK60" s="916"/>
    </row>
    <row r="61" spans="1:63">
      <c r="A61" s="907" t="s">
        <v>991</v>
      </c>
      <c r="B61" s="949" t="s">
        <v>214</v>
      </c>
      <c r="C61" s="956">
        <f t="shared" si="6"/>
        <v>3.282</v>
      </c>
      <c r="D61" s="920">
        <f t="shared" ref="D61" si="7">IF(INDEX(61:61,$E$2)="","", INDEX(61:61, $E$2) - IF($C$28 = "Yes", 0.05, 0))</f>
        <v>3.282</v>
      </c>
      <c r="E61" s="921"/>
      <c r="F61" s="962"/>
      <c r="G61" s="912"/>
      <c r="R61" s="935" t="s">
        <v>214</v>
      </c>
      <c r="S61" s="983">
        <v>3.68</v>
      </c>
      <c r="T61" s="965"/>
      <c r="U61" s="916"/>
      <c r="X61" s="935" t="s">
        <v>214</v>
      </c>
      <c r="Y61" s="983">
        <v>3.75</v>
      </c>
      <c r="Z61" s="965"/>
      <c r="AA61" s="916"/>
      <c r="AC61" s="935" t="s">
        <v>214</v>
      </c>
      <c r="AD61" s="983">
        <v>3.6709999999999998</v>
      </c>
      <c r="AE61" s="965"/>
      <c r="AF61" s="916"/>
      <c r="AH61" s="935" t="s">
        <v>214</v>
      </c>
      <c r="AI61" s="983">
        <v>3.282</v>
      </c>
      <c r="AJ61" s="965"/>
      <c r="AK61" s="916"/>
      <c r="AM61" s="935" t="s">
        <v>214</v>
      </c>
      <c r="AN61" s="983">
        <v>3.9540000000000002</v>
      </c>
      <c r="AO61" s="965"/>
      <c r="AP61" s="916"/>
      <c r="AR61" s="935" t="s">
        <v>214</v>
      </c>
      <c r="AS61" s="937">
        <f>INDEX(R61:FB61, MATCH($AU$7, $R$6:$FB$6, 0))*$AU$8 + INDEX(R61:FB61, MATCH($AU$9, $R$6:$FB$6, 0))*(1-$AU$8)</f>
        <v>3.8070000000000004</v>
      </c>
      <c r="AT61" s="965"/>
      <c r="AU61" s="916"/>
      <c r="AW61" s="935" t="s">
        <v>214</v>
      </c>
      <c r="AX61" s="983">
        <v>3.7509999999999999</v>
      </c>
      <c r="AY61" s="965"/>
      <c r="AZ61" s="916"/>
      <c r="BB61" s="935" t="s">
        <v>214</v>
      </c>
      <c r="BC61" s="983">
        <v>3.66</v>
      </c>
      <c r="BD61" s="965"/>
      <c r="BE61" s="916"/>
      <c r="BH61" s="935" t="s">
        <v>214</v>
      </c>
      <c r="BI61" s="983">
        <v>2.5139999999999998</v>
      </c>
      <c r="BJ61" s="965"/>
      <c r="BK61" s="916"/>
    </row>
    <row r="62" spans="1:63">
      <c r="A62" s="907"/>
      <c r="B62" s="949" t="s">
        <v>692</v>
      </c>
      <c r="C62" s="956">
        <f t="shared" si="6"/>
        <v>3.5</v>
      </c>
      <c r="D62" s="920">
        <f>IF(INDEX(62:62,$E$2)="","", INDEX(62:62, $E$2) - IF($C$28 = "Yes", 0, 0))</f>
        <v>3.5</v>
      </c>
      <c r="E62" s="921"/>
      <c r="F62" s="962"/>
      <c r="G62" s="912"/>
      <c r="R62" s="935" t="s">
        <v>692</v>
      </c>
      <c r="S62" s="983">
        <v>3.8359999999999999</v>
      </c>
      <c r="T62" s="965"/>
      <c r="U62" s="916"/>
      <c r="X62" s="935" t="s">
        <v>692</v>
      </c>
      <c r="Y62" s="983">
        <v>4</v>
      </c>
      <c r="Z62" s="965"/>
      <c r="AA62" s="916"/>
      <c r="AC62" s="935" t="s">
        <v>692</v>
      </c>
      <c r="AD62" s="983">
        <v>3.9</v>
      </c>
      <c r="AE62" s="965"/>
      <c r="AF62" s="916"/>
      <c r="AH62" s="935" t="s">
        <v>692</v>
      </c>
      <c r="AI62" s="983">
        <v>3.5</v>
      </c>
      <c r="AJ62" s="965"/>
      <c r="AK62" s="916"/>
      <c r="AM62" s="935" t="s">
        <v>692</v>
      </c>
      <c r="AN62" s="983">
        <v>4.0199999999999996</v>
      </c>
      <c r="AO62" s="965"/>
      <c r="AP62" s="916"/>
      <c r="AR62" s="935" t="s">
        <v>692</v>
      </c>
      <c r="AS62" s="937">
        <f>INDEX(R62:FB62, MATCH($AU$7, $R$6:$FB$6, 0))*$AU$8 + INDEX(R62:FB62, MATCH($AU$9, $R$6:$FB$6, 0))*(1-$AU$8)</f>
        <v>3.9474999999999998</v>
      </c>
      <c r="AT62" s="965"/>
      <c r="AU62" s="916"/>
      <c r="AW62" s="935" t="s">
        <v>692</v>
      </c>
      <c r="AX62" s="983">
        <v>4.0579999999999998</v>
      </c>
      <c r="AY62" s="965"/>
      <c r="AZ62" s="916"/>
      <c r="BB62" s="935" t="s">
        <v>692</v>
      </c>
      <c r="BC62" s="983">
        <v>3.875</v>
      </c>
      <c r="BD62" s="965"/>
      <c r="BE62" s="916"/>
      <c r="BH62" s="935" t="s">
        <v>692</v>
      </c>
      <c r="BI62" s="983">
        <v>2.593</v>
      </c>
      <c r="BJ62" s="965"/>
      <c r="BK62" s="916"/>
    </row>
    <row r="63" spans="1:63">
      <c r="A63" s="907"/>
      <c r="B63" s="949" t="s">
        <v>661</v>
      </c>
      <c r="C63" s="956">
        <f t="shared" si="6"/>
        <v>3.8</v>
      </c>
      <c r="D63" s="920">
        <f>IF(INDEX(63:63,$E$2)="","", INDEX(63:63, $E$2) - IF($C$28 = "Yes", 0, 0))</f>
        <v>3.8</v>
      </c>
      <c r="E63" s="921"/>
      <c r="F63" s="962"/>
      <c r="G63" s="912"/>
      <c r="R63" s="935" t="s">
        <v>661</v>
      </c>
      <c r="S63" s="983">
        <v>4.0999999999999996</v>
      </c>
      <c r="T63" s="965"/>
      <c r="U63" s="916"/>
      <c r="X63" s="935" t="s">
        <v>661</v>
      </c>
      <c r="Y63" s="983">
        <v>4.2</v>
      </c>
      <c r="Z63" s="965"/>
      <c r="AA63" s="916"/>
      <c r="AC63" s="935" t="s">
        <v>661</v>
      </c>
      <c r="AD63" s="983">
        <v>4.0999999999999996</v>
      </c>
      <c r="AE63" s="965"/>
      <c r="AF63" s="916"/>
      <c r="AH63" s="935" t="s">
        <v>661</v>
      </c>
      <c r="AI63" s="983">
        <v>3.8</v>
      </c>
      <c r="AJ63" s="965"/>
      <c r="AK63" s="916"/>
      <c r="AM63" s="935" t="s">
        <v>661</v>
      </c>
      <c r="AN63" s="983">
        <v>4.0999999999999996</v>
      </c>
      <c r="AO63" s="965"/>
      <c r="AP63" s="916"/>
      <c r="AR63" s="935" t="s">
        <v>661</v>
      </c>
      <c r="AS63" s="937">
        <f>INDEX(R63:FB63, MATCH($AU$7, $R$6:$FB$6, 0))*$AU$8 + INDEX(R63:FB63, MATCH($AU$9, $R$6:$FB$6, 0))*(1-$AU$8)</f>
        <v>4.032</v>
      </c>
      <c r="AT63" s="965"/>
      <c r="AU63" s="916"/>
      <c r="AW63" s="935" t="s">
        <v>661</v>
      </c>
      <c r="AX63" s="983">
        <v>4.2519999999999998</v>
      </c>
      <c r="AY63" s="965"/>
      <c r="AZ63" s="916"/>
      <c r="BB63" s="935" t="s">
        <v>661</v>
      </c>
      <c r="BC63" s="983">
        <v>3.964</v>
      </c>
      <c r="BD63" s="965"/>
      <c r="BE63" s="916"/>
      <c r="BH63" s="935" t="s">
        <v>661</v>
      </c>
      <c r="BI63" s="983">
        <v>2.66</v>
      </c>
      <c r="BJ63" s="965"/>
      <c r="BK63" s="916"/>
    </row>
    <row r="64" spans="1:63">
      <c r="A64" s="907"/>
      <c r="B64" s="959" t="s">
        <v>215</v>
      </c>
      <c r="C64" s="919">
        <f t="shared" si="6"/>
        <v>120</v>
      </c>
      <c r="D64" s="920">
        <f t="shared" ref="D64" si="8">IF(INDEX(64:64,$E$2)="","", INDEX(64:64, $E$2))</f>
        <v>120</v>
      </c>
      <c r="E64" s="921"/>
      <c r="F64" s="962"/>
      <c r="G64" s="912"/>
      <c r="R64" s="963" t="s">
        <v>215</v>
      </c>
      <c r="S64" s="984">
        <v>120</v>
      </c>
      <c r="T64" s="965"/>
      <c r="U64" s="916"/>
      <c r="X64" s="963" t="s">
        <v>215</v>
      </c>
      <c r="Y64" s="984">
        <v>120</v>
      </c>
      <c r="Z64" s="965"/>
      <c r="AA64" s="916"/>
      <c r="AC64" s="963" t="s">
        <v>215</v>
      </c>
      <c r="AD64" s="984">
        <v>120</v>
      </c>
      <c r="AE64" s="965"/>
      <c r="AF64" s="916"/>
      <c r="AH64" s="963" t="s">
        <v>215</v>
      </c>
      <c r="AI64" s="984">
        <v>120</v>
      </c>
      <c r="AJ64" s="965"/>
      <c r="AK64" s="916"/>
      <c r="AM64" s="963" t="s">
        <v>215</v>
      </c>
      <c r="AN64" s="984">
        <v>120</v>
      </c>
      <c r="AO64" s="965"/>
      <c r="AP64" s="916"/>
      <c r="AR64" s="963" t="s">
        <v>215</v>
      </c>
      <c r="AS64" s="984">
        <v>120</v>
      </c>
      <c r="AT64" s="965"/>
      <c r="AU64" s="916"/>
      <c r="AW64" s="963" t="s">
        <v>215</v>
      </c>
      <c r="AX64" s="984">
        <v>120</v>
      </c>
      <c r="AY64" s="965"/>
      <c r="AZ64" s="916"/>
      <c r="BB64" s="963" t="s">
        <v>215</v>
      </c>
      <c r="BC64" s="984">
        <v>120</v>
      </c>
      <c r="BD64" s="965"/>
      <c r="BE64" s="916"/>
      <c r="BH64" s="963" t="s">
        <v>215</v>
      </c>
      <c r="BI64" s="984">
        <v>200</v>
      </c>
      <c r="BJ64" s="965"/>
      <c r="BK64" s="916"/>
    </row>
    <row r="65" spans="1:114" ht="16">
      <c r="A65" s="907"/>
      <c r="B65" s="1216" t="s">
        <v>1506</v>
      </c>
      <c r="C65" s="985">
        <f t="shared" si="6"/>
        <v>4.7962962962962964E-2</v>
      </c>
      <c r="D65" s="920">
        <f>(1/D67)*(1/D42+1/D21)*(1/(40*10^-4))</f>
        <v>4.7962962962962964E-2</v>
      </c>
      <c r="E65" s="921"/>
      <c r="F65" s="962"/>
      <c r="G65" s="986"/>
      <c r="R65" s="963"/>
      <c r="S65" s="987"/>
      <c r="T65" s="988"/>
      <c r="U65" s="989"/>
      <c r="V65" s="990"/>
      <c r="W65" s="991"/>
      <c r="X65" s="963"/>
      <c r="Y65" s="987"/>
      <c r="Z65" s="988"/>
      <c r="AA65" s="989"/>
      <c r="AB65" s="991"/>
      <c r="AC65" s="963"/>
      <c r="AD65" s="987"/>
      <c r="AE65" s="988"/>
      <c r="AF65" s="989"/>
      <c r="AG65" s="991"/>
      <c r="AH65" s="963"/>
      <c r="AI65" s="987"/>
      <c r="AJ65" s="988"/>
      <c r="AK65" s="989"/>
      <c r="AL65" s="991"/>
      <c r="AM65" s="963"/>
      <c r="AN65" s="987"/>
      <c r="AO65" s="988"/>
      <c r="AP65" s="989"/>
      <c r="AQ65" s="991"/>
      <c r="AR65" s="963"/>
      <c r="AS65" s="987"/>
      <c r="AT65" s="988"/>
      <c r="AU65" s="989"/>
      <c r="AV65" s="991"/>
      <c r="AW65" s="963"/>
      <c r="AX65" s="987"/>
      <c r="AY65" s="988"/>
      <c r="AZ65" s="989"/>
      <c r="BA65" s="991"/>
      <c r="BB65" s="963"/>
      <c r="BC65" s="987"/>
      <c r="BD65" s="988"/>
      <c r="BE65" s="989"/>
      <c r="BF65" s="991"/>
      <c r="BG65" s="991"/>
      <c r="BH65" s="963"/>
      <c r="BI65" s="987"/>
      <c r="BJ65" s="988"/>
      <c r="BK65" s="989"/>
      <c r="BL65" s="855"/>
      <c r="BM65" s="855"/>
      <c r="BR65" s="855"/>
      <c r="BS65" s="855"/>
      <c r="BT65" s="855"/>
      <c r="BU65" s="855"/>
      <c r="BV65" s="855"/>
      <c r="BW65" s="855"/>
      <c r="BX65" s="855"/>
      <c r="BY65" s="855"/>
      <c r="BZ65" s="855"/>
    </row>
    <row r="66" spans="1:114">
      <c r="A66" s="907"/>
      <c r="B66" s="930"/>
      <c r="C66" s="982"/>
      <c r="D66" s="920"/>
      <c r="E66" s="921"/>
      <c r="F66" s="962"/>
      <c r="R66" s="914"/>
      <c r="S66" s="915"/>
      <c r="T66" s="915"/>
      <c r="U66" s="916"/>
      <c r="X66" s="914"/>
      <c r="Y66" s="915"/>
      <c r="Z66" s="915"/>
      <c r="AA66" s="916"/>
      <c r="AC66" s="914"/>
      <c r="AD66" s="915"/>
      <c r="AE66" s="915"/>
      <c r="AF66" s="916"/>
      <c r="AH66" s="914"/>
      <c r="AI66" s="915"/>
      <c r="AJ66" s="915"/>
      <c r="AK66" s="916"/>
      <c r="AM66" s="914"/>
      <c r="AN66" s="915"/>
      <c r="AO66" s="915"/>
      <c r="AP66" s="916"/>
      <c r="AR66" s="914"/>
      <c r="AS66" s="915"/>
      <c r="AT66" s="915"/>
      <c r="AU66" s="916"/>
      <c r="AW66" s="914"/>
      <c r="AX66" s="915"/>
      <c r="AY66" s="915"/>
      <c r="AZ66" s="916"/>
      <c r="BB66" s="914"/>
      <c r="BC66" s="915"/>
      <c r="BD66" s="915"/>
      <c r="BE66" s="916"/>
      <c r="BH66" s="914"/>
      <c r="BI66" s="915"/>
      <c r="BJ66" s="915"/>
      <c r="BK66" s="916"/>
    </row>
    <row r="67" spans="1:114" ht="16">
      <c r="A67" s="907"/>
      <c r="B67" s="930" t="s">
        <v>1507</v>
      </c>
      <c r="C67" s="919">
        <f>IF(AND(D67="",E67=""),"",IF(E67="",D67,E67))</f>
        <v>1.5</v>
      </c>
      <c r="D67" s="920">
        <f>IF(INDEX(67:67,$E$2)="","", INDEX(67:67, $E$2))</f>
        <v>1.5</v>
      </c>
      <c r="E67" s="921"/>
      <c r="F67" s="992"/>
      <c r="G67" s="912"/>
      <c r="R67" s="914" t="s">
        <v>1351</v>
      </c>
      <c r="S67" s="937">
        <v>3</v>
      </c>
      <c r="T67" s="993"/>
      <c r="U67" s="994"/>
      <c r="V67" s="995"/>
      <c r="X67" s="914" t="s">
        <v>1351</v>
      </c>
      <c r="Y67" s="937">
        <v>3</v>
      </c>
      <c r="Z67" s="993"/>
      <c r="AA67" s="994"/>
      <c r="AC67" s="914" t="s">
        <v>1351</v>
      </c>
      <c r="AD67" s="937">
        <v>3</v>
      </c>
      <c r="AE67" s="993"/>
      <c r="AF67" s="994"/>
      <c r="AH67" s="914" t="s">
        <v>1351</v>
      </c>
      <c r="AI67" s="937">
        <v>1.5</v>
      </c>
      <c r="AJ67" s="993"/>
      <c r="AK67" s="994"/>
      <c r="AM67" s="914" t="s">
        <v>1351</v>
      </c>
      <c r="AN67" s="937">
        <v>2</v>
      </c>
      <c r="AO67" s="993"/>
      <c r="AP67" s="994"/>
      <c r="AR67" s="914" t="s">
        <v>1351</v>
      </c>
      <c r="AS67" s="937">
        <f>INDEX(R67:FB67, MATCH($AU$7, $R$6:$FB$6, 0))*$AU$8 + INDEX(R67:FB67, MATCH($AU$9, $R$6:$FB$6, 0))*(1-$AU$8)</f>
        <v>2</v>
      </c>
      <c r="AT67" s="993"/>
      <c r="AU67" s="994"/>
      <c r="AW67" s="914" t="s">
        <v>1351</v>
      </c>
      <c r="AX67" s="937">
        <v>2</v>
      </c>
      <c r="AY67" s="993"/>
      <c r="AZ67" s="994"/>
      <c r="BB67" s="914" t="s">
        <v>1351</v>
      </c>
      <c r="BC67" s="937">
        <v>2</v>
      </c>
      <c r="BD67" s="993"/>
      <c r="BE67" s="994"/>
      <c r="BH67" s="914" t="s">
        <v>1351</v>
      </c>
      <c r="BI67" s="937">
        <v>1.5</v>
      </c>
      <c r="BJ67" s="993"/>
      <c r="BK67" s="994"/>
    </row>
    <row r="68" spans="1:114">
      <c r="A68" s="907"/>
      <c r="B68" s="959" t="s">
        <v>1352</v>
      </c>
      <c r="C68" s="956">
        <f>IF(AND(D68="",E68=""),"",IF(E68="",D68,E68))</f>
        <v>0.4</v>
      </c>
      <c r="D68" s="920">
        <v>0.4</v>
      </c>
      <c r="E68" s="921"/>
      <c r="F68" s="962"/>
      <c r="G68" s="912"/>
      <c r="R68" s="996"/>
      <c r="S68" s="997"/>
      <c r="T68" s="997"/>
      <c r="U68" s="998"/>
      <c r="V68" s="854"/>
      <c r="W68" s="854"/>
      <c r="X68" s="996"/>
      <c r="Y68" s="997"/>
      <c r="Z68" s="997"/>
      <c r="AA68" s="998"/>
      <c r="AB68" s="854"/>
      <c r="AC68" s="996"/>
      <c r="AD68" s="997"/>
      <c r="AE68" s="997"/>
      <c r="AF68" s="998"/>
      <c r="AG68" s="854"/>
      <c r="AH68" s="996"/>
      <c r="AI68" s="997"/>
      <c r="AJ68" s="997"/>
      <c r="AK68" s="998"/>
      <c r="AL68" s="854"/>
      <c r="AM68" s="996"/>
      <c r="AN68" s="997"/>
      <c r="AO68" s="997"/>
      <c r="AP68" s="998"/>
      <c r="AQ68" s="854"/>
      <c r="AR68" s="996"/>
      <c r="AS68" s="997"/>
      <c r="AT68" s="997"/>
      <c r="AU68" s="998"/>
      <c r="AV68" s="854"/>
      <c r="AW68" s="996"/>
      <c r="AX68" s="997"/>
      <c r="AY68" s="997"/>
      <c r="AZ68" s="998"/>
      <c r="BA68" s="854"/>
      <c r="BB68" s="996"/>
      <c r="BC68" s="997"/>
      <c r="BD68" s="997"/>
      <c r="BE68" s="998"/>
      <c r="BF68" s="854"/>
      <c r="BG68" s="854"/>
      <c r="BH68" s="996"/>
      <c r="BI68" s="997"/>
      <c r="BJ68" s="997"/>
      <c r="BK68" s="998"/>
    </row>
    <row r="69" spans="1:114" ht="16">
      <c r="A69" s="907"/>
      <c r="B69" s="959" t="s">
        <v>1353</v>
      </c>
      <c r="C69" s="956">
        <f>IF(AND(D69="",E69=""),"",IF(E69="",D69,E69))</f>
        <v>0.23599999999999999</v>
      </c>
      <c r="D69" s="920">
        <v>0.23599999999999999</v>
      </c>
      <c r="E69" s="921"/>
      <c r="F69" s="962"/>
      <c r="G69" s="912"/>
      <c r="R69" s="996"/>
      <c r="S69" s="997"/>
      <c r="T69" s="997"/>
      <c r="U69" s="998"/>
      <c r="V69" s="854"/>
      <c r="W69" s="854"/>
      <c r="X69" s="996"/>
      <c r="Y69" s="997"/>
      <c r="Z69" s="997"/>
      <c r="AA69" s="998"/>
      <c r="AB69" s="854"/>
      <c r="AC69" s="996"/>
      <c r="AD69" s="997"/>
      <c r="AE69" s="997"/>
      <c r="AF69" s="998"/>
      <c r="AG69" s="854"/>
      <c r="AH69" s="996"/>
      <c r="AI69" s="997"/>
      <c r="AJ69" s="997"/>
      <c r="AK69" s="998"/>
      <c r="AL69" s="854"/>
      <c r="AM69" s="996"/>
      <c r="AN69" s="997"/>
      <c r="AO69" s="997"/>
      <c r="AP69" s="998"/>
      <c r="AQ69" s="854"/>
      <c r="AR69" s="996"/>
      <c r="AS69" s="997"/>
      <c r="AT69" s="997"/>
      <c r="AU69" s="998"/>
      <c r="AV69" s="854"/>
      <c r="AW69" s="996"/>
      <c r="AX69" s="997"/>
      <c r="AY69" s="997"/>
      <c r="AZ69" s="998"/>
      <c r="BA69" s="854"/>
      <c r="BB69" s="996"/>
      <c r="BC69" s="997"/>
      <c r="BD69" s="997"/>
      <c r="BE69" s="998"/>
      <c r="BF69" s="854"/>
      <c r="BG69" s="854"/>
      <c r="BH69" s="996"/>
      <c r="BI69" s="997"/>
      <c r="BJ69" s="997"/>
      <c r="BK69" s="998"/>
    </row>
    <row r="70" spans="1:114" ht="16">
      <c r="A70" s="907"/>
      <c r="B70" s="1212" t="s">
        <v>1508</v>
      </c>
      <c r="C70" s="919" t="str">
        <f>IF(AND(D70="",E70=""),"",IF(E70="",D70,E70))</f>
        <v/>
      </c>
      <c r="D70" s="920" t="str">
        <f t="shared" ref="D70:D78" si="9">IF(INDEX(70:70,$E$2)="","", INDEX(70:70, $E$2))</f>
        <v/>
      </c>
      <c r="E70" s="921"/>
      <c r="F70" s="962"/>
      <c r="G70" s="912"/>
      <c r="R70" s="914" t="s">
        <v>1354</v>
      </c>
      <c r="S70" s="997"/>
      <c r="T70" s="965"/>
      <c r="U70" s="916"/>
      <c r="X70" s="914" t="s">
        <v>1354</v>
      </c>
      <c r="Y70" s="997"/>
      <c r="Z70" s="965"/>
      <c r="AA70" s="916"/>
      <c r="AC70" s="914" t="s">
        <v>1354</v>
      </c>
      <c r="AD70" s="997"/>
      <c r="AE70" s="965"/>
      <c r="AF70" s="916"/>
      <c r="AH70" s="914" t="s">
        <v>1354</v>
      </c>
      <c r="AI70" s="997"/>
      <c r="AJ70" s="965"/>
      <c r="AK70" s="916"/>
      <c r="AM70" s="914" t="s">
        <v>1354</v>
      </c>
      <c r="AN70" s="997"/>
      <c r="AO70" s="965"/>
      <c r="AP70" s="916"/>
      <c r="AR70" s="914" t="s">
        <v>1354</v>
      </c>
      <c r="AS70" s="997"/>
      <c r="AT70" s="965"/>
      <c r="AU70" s="916"/>
      <c r="AW70" s="914" t="s">
        <v>1354</v>
      </c>
      <c r="AX70" s="997"/>
      <c r="AY70" s="965"/>
      <c r="AZ70" s="916"/>
      <c r="BB70" s="914" t="s">
        <v>1354</v>
      </c>
      <c r="BC70" s="997"/>
      <c r="BD70" s="965"/>
      <c r="BE70" s="916"/>
      <c r="BH70" s="914" t="s">
        <v>1354</v>
      </c>
      <c r="BI70" s="997"/>
      <c r="BJ70" s="965"/>
      <c r="BK70" s="916"/>
    </row>
    <row r="71" spans="1:114">
      <c r="A71" s="907"/>
      <c r="B71" s="999" t="s">
        <v>1262</v>
      </c>
      <c r="C71" s="1000">
        <f>IF(E7 = "", IF('Battery Design'!G$62="microHEV",C72,IF('Battery Design'!G$62="HEV-HP",C73,IF('Battery Design'!G$62="PHEV",C74,IF('Battery Design'!G$62="EV",C74,"ERROR")))), E71)</f>
        <v>27.500000000000004</v>
      </c>
      <c r="D71" s="920" t="str">
        <f t="shared" si="9"/>
        <v/>
      </c>
      <c r="E71" s="921"/>
      <c r="F71" s="962"/>
      <c r="G71" s="912"/>
      <c r="R71" s="996"/>
      <c r="S71" s="997"/>
      <c r="T71" s="997"/>
      <c r="U71" s="998"/>
      <c r="V71" s="854"/>
      <c r="W71" s="854"/>
      <c r="X71" s="996"/>
      <c r="Y71" s="997"/>
      <c r="Z71" s="997"/>
      <c r="AA71" s="998"/>
      <c r="AB71" s="854"/>
      <c r="AC71" s="996"/>
      <c r="AD71" s="997"/>
      <c r="AE71" s="997"/>
      <c r="AF71" s="998"/>
      <c r="AG71" s="854"/>
      <c r="AH71" s="996"/>
      <c r="AI71" s="997"/>
      <c r="AJ71" s="997"/>
      <c r="AK71" s="998"/>
      <c r="AL71" s="854"/>
      <c r="AM71" s="996"/>
      <c r="AN71" s="997"/>
      <c r="AO71" s="997"/>
      <c r="AP71" s="998"/>
      <c r="AQ71" s="854"/>
      <c r="AR71" s="996"/>
      <c r="AS71" s="997"/>
      <c r="AT71" s="997"/>
      <c r="AU71" s="998"/>
      <c r="AV71" s="854"/>
      <c r="AW71" s="996"/>
      <c r="AX71" s="997"/>
      <c r="AY71" s="997"/>
      <c r="AZ71" s="998"/>
      <c r="BA71" s="854"/>
      <c r="BB71" s="996"/>
      <c r="BC71" s="997"/>
      <c r="BD71" s="997"/>
      <c r="BE71" s="998"/>
      <c r="BF71" s="854"/>
      <c r="BG71" s="854"/>
      <c r="BH71" s="996"/>
      <c r="BI71" s="997"/>
      <c r="BJ71" s="997"/>
      <c r="BK71" s="998"/>
      <c r="DJ71" s="189"/>
    </row>
    <row r="72" spans="1:114">
      <c r="A72" s="907"/>
      <c r="B72" s="930" t="s">
        <v>1258</v>
      </c>
      <c r="C72" s="919">
        <f>IF(AND(D72="",E72=""),"",IF(E72="",D72,E72))</f>
        <v>20</v>
      </c>
      <c r="D72" s="920">
        <f>IF(INDEX(72:72,$E$2)="","", INDEX(72:72, $E$2)*IF($C$28 = "Yes", 1, 1))</f>
        <v>20</v>
      </c>
      <c r="E72" s="921"/>
      <c r="F72" s="962"/>
      <c r="G72" s="912"/>
      <c r="R72" s="914" t="s">
        <v>216</v>
      </c>
      <c r="S72" s="937">
        <v>12</v>
      </c>
      <c r="T72" s="965"/>
      <c r="U72" s="916"/>
      <c r="X72" s="914" t="s">
        <v>216</v>
      </c>
      <c r="Y72" s="937">
        <v>12</v>
      </c>
      <c r="Z72" s="965"/>
      <c r="AA72" s="916"/>
      <c r="AC72" s="914" t="s">
        <v>216</v>
      </c>
      <c r="AD72" s="937">
        <v>12</v>
      </c>
      <c r="AE72" s="965"/>
      <c r="AF72" s="916"/>
      <c r="AH72" s="914" t="s">
        <v>216</v>
      </c>
      <c r="AI72" s="937">
        <v>20</v>
      </c>
      <c r="AJ72" s="965"/>
      <c r="AK72" s="916"/>
      <c r="AM72" s="914" t="s">
        <v>216</v>
      </c>
      <c r="AN72" s="937">
        <v>10</v>
      </c>
      <c r="AO72" s="965"/>
      <c r="AP72" s="916"/>
      <c r="AR72" s="914" t="s">
        <v>216</v>
      </c>
      <c r="AS72" s="937">
        <f>1/($AU$8/INDEX(R72:FB72, MATCH($AU$7, $R$6:$FB$6, 0)) +(1-$AU$8)/INDEX(R72:FB72, MATCH($AU$9, $R$6:$FB$6, 0)))</f>
        <v>10</v>
      </c>
      <c r="AT72" s="965"/>
      <c r="AU72" s="916"/>
      <c r="AW72" s="914" t="s">
        <v>216</v>
      </c>
      <c r="AX72" s="937">
        <v>10</v>
      </c>
      <c r="AY72" s="965"/>
      <c r="AZ72" s="916"/>
      <c r="BB72" s="914" t="s">
        <v>216</v>
      </c>
      <c r="BC72" s="937">
        <v>10</v>
      </c>
      <c r="BD72" s="965"/>
      <c r="BE72" s="916"/>
      <c r="BH72" s="914" t="s">
        <v>216</v>
      </c>
      <c r="BI72" s="937">
        <v>6</v>
      </c>
      <c r="BJ72" s="965"/>
      <c r="BK72" s="916"/>
    </row>
    <row r="73" spans="1:114">
      <c r="A73" s="907" t="s">
        <v>991</v>
      </c>
      <c r="B73" s="930" t="s">
        <v>1259</v>
      </c>
      <c r="C73" s="919">
        <f>IF(AND(D73="",E73=""),"",IF(E73="",D73,E73))</f>
        <v>25</v>
      </c>
      <c r="D73" s="920">
        <f>IF(INDEX(73:73,$E$2)="","", INDEX(73:73, $E$2)*IF($C$28 = "Yes", 1.1, 1))</f>
        <v>25</v>
      </c>
      <c r="E73" s="921"/>
      <c r="F73" s="962"/>
      <c r="G73" s="912"/>
      <c r="R73" s="914" t="s">
        <v>217</v>
      </c>
      <c r="S73" s="937">
        <v>13</v>
      </c>
      <c r="T73" s="965"/>
      <c r="U73" s="916"/>
      <c r="X73" s="914" t="s">
        <v>217</v>
      </c>
      <c r="Y73" s="937">
        <v>13</v>
      </c>
      <c r="Z73" s="965"/>
      <c r="AA73" s="916"/>
      <c r="AC73" s="914" t="s">
        <v>217</v>
      </c>
      <c r="AD73" s="937">
        <v>13</v>
      </c>
      <c r="AE73" s="965"/>
      <c r="AF73" s="916"/>
      <c r="AH73" s="914" t="s">
        <v>217</v>
      </c>
      <c r="AI73" s="937">
        <v>25</v>
      </c>
      <c r="AJ73" s="965"/>
      <c r="AK73" s="916"/>
      <c r="AM73" s="914" t="s">
        <v>217</v>
      </c>
      <c r="AN73" s="937">
        <v>12</v>
      </c>
      <c r="AO73" s="965"/>
      <c r="AP73" s="916"/>
      <c r="AR73" s="914" t="s">
        <v>217</v>
      </c>
      <c r="AS73" s="937">
        <f>1/($AU$8/INDEX(R73:FB73, MATCH($AU$7, $R$6:$FB$6, 0)) +(1-$AU$8)/INDEX(R73:FB73, MATCH($AU$9, $R$6:$FB$6, 0)))</f>
        <v>12</v>
      </c>
      <c r="AT73" s="965"/>
      <c r="AU73" s="916"/>
      <c r="AW73" s="914" t="s">
        <v>217</v>
      </c>
      <c r="AX73" s="937">
        <v>12</v>
      </c>
      <c r="AY73" s="965"/>
      <c r="AZ73" s="916"/>
      <c r="BB73" s="914" t="s">
        <v>217</v>
      </c>
      <c r="BC73" s="937">
        <v>12</v>
      </c>
      <c r="BD73" s="965"/>
      <c r="BE73" s="916"/>
      <c r="BH73" s="914" t="s">
        <v>217</v>
      </c>
      <c r="BI73" s="937">
        <v>8</v>
      </c>
      <c r="BJ73" s="965"/>
      <c r="BK73" s="916"/>
    </row>
    <row r="74" spans="1:114">
      <c r="A74" s="907"/>
      <c r="B74" s="930" t="s">
        <v>1260</v>
      </c>
      <c r="C74" s="919">
        <f>IF(AND(D74="",E74=""),"",IF(E74="",D74,E74))</f>
        <v>27.500000000000004</v>
      </c>
      <c r="D74" s="920">
        <f>IF(INDEX(74:74,$E$2)="","", INDEX(74:74, $E$2)*IF($C$28 = "Yes", 1.15, 1))</f>
        <v>27.500000000000004</v>
      </c>
      <c r="E74" s="921"/>
      <c r="F74" s="992"/>
      <c r="G74" s="912"/>
      <c r="R74" s="914" t="s">
        <v>529</v>
      </c>
      <c r="S74" s="937">
        <f>1.1*S73</f>
        <v>14.3</v>
      </c>
      <c r="T74" s="965"/>
      <c r="U74" s="994"/>
      <c r="V74" s="995"/>
      <c r="X74" s="914" t="s">
        <v>529</v>
      </c>
      <c r="Y74" s="937">
        <f>1.1*Y73</f>
        <v>14.3</v>
      </c>
      <c r="Z74" s="965"/>
      <c r="AA74" s="994"/>
      <c r="AC74" s="914" t="s">
        <v>529</v>
      </c>
      <c r="AD74" s="937">
        <f>1.1*AD73</f>
        <v>14.3</v>
      </c>
      <c r="AE74" s="965"/>
      <c r="AF74" s="994"/>
      <c r="AH74" s="914" t="s">
        <v>529</v>
      </c>
      <c r="AI74" s="937">
        <f>1.1*AI73</f>
        <v>27.500000000000004</v>
      </c>
      <c r="AJ74" s="965"/>
      <c r="AK74" s="994"/>
      <c r="AM74" s="914" t="s">
        <v>529</v>
      </c>
      <c r="AN74" s="937">
        <f>1.1*AN73</f>
        <v>13.200000000000001</v>
      </c>
      <c r="AO74" s="965"/>
      <c r="AP74" s="994"/>
      <c r="AR74" s="914" t="s">
        <v>529</v>
      </c>
      <c r="AS74" s="937">
        <f>1/($AU$8/INDEX(R74:FB74, MATCH($AU$7, $R$6:$FB$6, 0)) +(1-$AU$8)/INDEX(R74:FB74, MATCH($AU$9, $R$6:$FB$6, 0)))</f>
        <v>13.200000000000003</v>
      </c>
      <c r="AT74" s="965"/>
      <c r="AU74" s="994"/>
      <c r="AW74" s="914" t="s">
        <v>529</v>
      </c>
      <c r="AX74" s="937">
        <f>1.1*AX73</f>
        <v>13.200000000000001</v>
      </c>
      <c r="AY74" s="965"/>
      <c r="AZ74" s="994"/>
      <c r="BB74" s="914" t="s">
        <v>529</v>
      </c>
      <c r="BC74" s="937">
        <f>1.1*BC73</f>
        <v>13.200000000000001</v>
      </c>
      <c r="BD74" s="965"/>
      <c r="BE74" s="994"/>
      <c r="BH74" s="914" t="s">
        <v>529</v>
      </c>
      <c r="BI74" s="937">
        <f>1.1*BI73</f>
        <v>8.8000000000000007</v>
      </c>
      <c r="BJ74" s="965"/>
      <c r="BK74" s="994"/>
    </row>
    <row r="75" spans="1:114">
      <c r="A75" s="907"/>
      <c r="B75" s="930" t="s">
        <v>1261</v>
      </c>
      <c r="C75" s="919">
        <f>IF(AND(D75="",E75=""),"",IF(E75="",D75,E75))</f>
        <v>28.749999999999996</v>
      </c>
      <c r="D75" s="920">
        <f>IF(INDEX(75:75,$E$2)="","", INDEX(75:75, $E$2)*IF($C$28 = "Yes", 1.15, 1))</f>
        <v>28.749999999999996</v>
      </c>
      <c r="E75" s="921"/>
      <c r="F75" s="967"/>
      <c r="G75" s="912"/>
      <c r="R75" s="914" t="s">
        <v>624</v>
      </c>
      <c r="S75" s="937">
        <f>S73*1.15</f>
        <v>14.95</v>
      </c>
      <c r="T75" s="965"/>
      <c r="U75" s="969"/>
      <c r="V75" s="970"/>
      <c r="X75" s="914" t="s">
        <v>624</v>
      </c>
      <c r="Y75" s="937">
        <f>Y73*1.15</f>
        <v>14.95</v>
      </c>
      <c r="Z75" s="965"/>
      <c r="AA75" s="969"/>
      <c r="AC75" s="914" t="s">
        <v>624</v>
      </c>
      <c r="AD75" s="937">
        <f>AD73*1.15</f>
        <v>14.95</v>
      </c>
      <c r="AE75" s="965"/>
      <c r="AF75" s="969"/>
      <c r="AH75" s="914" t="s">
        <v>624</v>
      </c>
      <c r="AI75" s="937">
        <f>AI73*1.15</f>
        <v>28.749999999999996</v>
      </c>
      <c r="AJ75" s="965"/>
      <c r="AK75" s="969"/>
      <c r="AM75" s="914" t="s">
        <v>624</v>
      </c>
      <c r="AN75" s="937">
        <f>AN73*1.15</f>
        <v>13.799999999999999</v>
      </c>
      <c r="AO75" s="965"/>
      <c r="AP75" s="969"/>
      <c r="AR75" s="914" t="s">
        <v>624</v>
      </c>
      <c r="AS75" s="937">
        <f>1/($AU$8/INDEX(R75:FB75, MATCH($AU$7, $R$6:$FB$6, 0)) +(1-$AU$8)/INDEX(R75:FB75, MATCH($AU$9, $R$6:$FB$6, 0)))</f>
        <v>13.799999999999999</v>
      </c>
      <c r="AT75" s="965"/>
      <c r="AU75" s="969"/>
      <c r="AW75" s="914" t="s">
        <v>624</v>
      </c>
      <c r="AX75" s="937">
        <f>AX73*1.15</f>
        <v>13.799999999999999</v>
      </c>
      <c r="AY75" s="965"/>
      <c r="AZ75" s="969"/>
      <c r="BB75" s="914" t="s">
        <v>624</v>
      </c>
      <c r="BC75" s="937">
        <f>BC73*1.15</f>
        <v>13.799999999999999</v>
      </c>
      <c r="BD75" s="965"/>
      <c r="BE75" s="969"/>
      <c r="BH75" s="914" t="s">
        <v>624</v>
      </c>
      <c r="BI75" s="937">
        <f>BI73*1.15</f>
        <v>9.1999999999999993</v>
      </c>
      <c r="BJ75" s="965"/>
      <c r="BK75" s="969"/>
    </row>
    <row r="76" spans="1:114">
      <c r="A76" s="907"/>
      <c r="B76" s="959" t="s">
        <v>419</v>
      </c>
      <c r="C76" s="1001">
        <f>IF(E76 = "", 1.5*C71, E76)</f>
        <v>41.250000000000007</v>
      </c>
      <c r="D76" s="920" t="str">
        <f t="shared" si="9"/>
        <v/>
      </c>
      <c r="E76" s="921"/>
      <c r="F76" s="979"/>
      <c r="G76" s="912"/>
      <c r="R76" s="996"/>
      <c r="S76" s="997"/>
      <c r="T76" s="997"/>
      <c r="U76" s="998"/>
      <c r="V76" s="854"/>
      <c r="W76" s="854"/>
      <c r="X76" s="996"/>
      <c r="Y76" s="997"/>
      <c r="Z76" s="997"/>
      <c r="AA76" s="998"/>
      <c r="AB76" s="854"/>
      <c r="AC76" s="996"/>
      <c r="AD76" s="997"/>
      <c r="AE76" s="997"/>
      <c r="AF76" s="998"/>
      <c r="AG76" s="854"/>
      <c r="AH76" s="996"/>
      <c r="AI76" s="997"/>
      <c r="AJ76" s="997"/>
      <c r="AK76" s="998"/>
      <c r="AL76" s="854"/>
      <c r="AM76" s="996"/>
      <c r="AN76" s="997"/>
      <c r="AO76" s="997"/>
      <c r="AP76" s="998"/>
      <c r="AQ76" s="854"/>
      <c r="AR76" s="996"/>
      <c r="AS76" s="997"/>
      <c r="AT76" s="997"/>
      <c r="AU76" s="998"/>
      <c r="AV76" s="854"/>
      <c r="AW76" s="996"/>
      <c r="AX76" s="997"/>
      <c r="AY76" s="997"/>
      <c r="AZ76" s="998"/>
      <c r="BA76" s="854"/>
      <c r="BB76" s="996"/>
      <c r="BC76" s="997"/>
      <c r="BD76" s="997"/>
      <c r="BE76" s="998"/>
      <c r="BF76" s="854"/>
      <c r="BG76" s="854"/>
      <c r="BH76" s="996"/>
      <c r="BI76" s="997"/>
      <c r="BJ76" s="997"/>
      <c r="BK76" s="998"/>
    </row>
    <row r="77" spans="1:114" ht="16">
      <c r="A77" s="907"/>
      <c r="B77" s="959" t="s">
        <v>1509</v>
      </c>
      <c r="C77" s="919">
        <f>IF(AND(D77="",E77=""),"",IF(E77="",D77,E77))</f>
        <v>32.5</v>
      </c>
      <c r="D77" s="920">
        <f t="shared" si="9"/>
        <v>32.5</v>
      </c>
      <c r="E77" s="921"/>
      <c r="F77" s="962"/>
      <c r="G77" s="912"/>
      <c r="I77" s="1002"/>
      <c r="R77" s="963" t="s">
        <v>1355</v>
      </c>
      <c r="S77" s="1003">
        <f>1.3*S73</f>
        <v>16.900000000000002</v>
      </c>
      <c r="T77" s="965"/>
      <c r="U77" s="916"/>
      <c r="X77" s="963" t="s">
        <v>1355</v>
      </c>
      <c r="Y77" s="1003">
        <f>1.3*Y73</f>
        <v>16.900000000000002</v>
      </c>
      <c r="Z77" s="965"/>
      <c r="AA77" s="916"/>
      <c r="AC77" s="963" t="s">
        <v>1355</v>
      </c>
      <c r="AD77" s="1003">
        <f>1.3*AD73</f>
        <v>16.900000000000002</v>
      </c>
      <c r="AE77" s="965"/>
      <c r="AF77" s="916"/>
      <c r="AH77" s="963" t="s">
        <v>1355</v>
      </c>
      <c r="AI77" s="1003">
        <f>1.3*AI73</f>
        <v>32.5</v>
      </c>
      <c r="AJ77" s="965"/>
      <c r="AK77" s="916"/>
      <c r="AM77" s="963" t="s">
        <v>1355</v>
      </c>
      <c r="AN77" s="1003">
        <f>1.3*AN73</f>
        <v>15.600000000000001</v>
      </c>
      <c r="AO77" s="965"/>
      <c r="AP77" s="916"/>
      <c r="AR77" s="963" t="s">
        <v>1355</v>
      </c>
      <c r="AS77" s="937">
        <f>1/($AU$8/INDEX(R77:FB77, MATCH($AU$7, $R$6:$FB$6, 0)) +(1-$AU$8)/INDEX(R77:FB77, MATCH($AU$9, $R$6:$FB$6, 0)))</f>
        <v>15.600000000000001</v>
      </c>
      <c r="AT77" s="965"/>
      <c r="AU77" s="916"/>
      <c r="AW77" s="963" t="s">
        <v>1355</v>
      </c>
      <c r="AX77" s="1003">
        <f>1.3*AX73</f>
        <v>15.600000000000001</v>
      </c>
      <c r="AY77" s="965"/>
      <c r="AZ77" s="916"/>
      <c r="BB77" s="963" t="s">
        <v>1355</v>
      </c>
      <c r="BC77" s="1003">
        <f>1.3*BC73</f>
        <v>15.600000000000001</v>
      </c>
      <c r="BD77" s="965"/>
      <c r="BE77" s="916"/>
      <c r="BH77" s="963" t="s">
        <v>1355</v>
      </c>
      <c r="BI77" s="1003">
        <f>1.3*BI73</f>
        <v>10.4</v>
      </c>
      <c r="BJ77" s="965"/>
      <c r="BK77" s="916"/>
    </row>
    <row r="78" spans="1:114" ht="16">
      <c r="A78" s="907" t="s">
        <v>991</v>
      </c>
      <c r="B78" s="930" t="s">
        <v>1510</v>
      </c>
      <c r="C78" s="956">
        <f>IF(NOT(Dashboard!E24=""),Dashboard!E24,IF(AND(D78="",E78=""),"",IF(E78="",D78,E78)))</f>
        <v>9</v>
      </c>
      <c r="D78" s="920">
        <f t="shared" si="9"/>
        <v>9</v>
      </c>
      <c r="E78" s="921"/>
      <c r="F78" s="1004"/>
      <c r="G78" s="912"/>
      <c r="R78" s="914" t="s">
        <v>1356</v>
      </c>
      <c r="S78" s="937">
        <v>9</v>
      </c>
      <c r="T78" s="1005"/>
      <c r="U78" s="1006"/>
      <c r="V78" s="1007"/>
      <c r="X78" s="914" t="s">
        <v>1356</v>
      </c>
      <c r="Y78" s="937">
        <v>9</v>
      </c>
      <c r="Z78" s="1005"/>
      <c r="AA78" s="1006"/>
      <c r="AC78" s="914" t="s">
        <v>1356</v>
      </c>
      <c r="AD78" s="937">
        <v>9</v>
      </c>
      <c r="AE78" s="1005"/>
      <c r="AF78" s="1006"/>
      <c r="AH78" s="914" t="s">
        <v>1356</v>
      </c>
      <c r="AI78" s="937">
        <v>9</v>
      </c>
      <c r="AJ78" s="1005"/>
      <c r="AK78" s="1006"/>
      <c r="AM78" s="914" t="s">
        <v>1356</v>
      </c>
      <c r="AN78" s="937">
        <v>15</v>
      </c>
      <c r="AO78" s="1005"/>
      <c r="AP78" s="1006"/>
      <c r="AR78" s="914" t="s">
        <v>1356</v>
      </c>
      <c r="AS78" s="937">
        <f>INDEX(R78:FB78, MATCH($AU$7, $R$6:$FB$6, 0))*$AU$8 + INDEX(R78:FB78, MATCH($AU$9, $R$6:$FB$6, 0))*(1-$AU$8)</f>
        <v>12</v>
      </c>
      <c r="AT78" s="1005"/>
      <c r="AU78" s="1006"/>
      <c r="AW78" s="914" t="s">
        <v>1356</v>
      </c>
      <c r="AX78" s="937">
        <v>9</v>
      </c>
      <c r="AY78" s="1005"/>
      <c r="AZ78" s="1006"/>
      <c r="BB78" s="914" t="s">
        <v>1356</v>
      </c>
      <c r="BC78" s="937">
        <v>9</v>
      </c>
      <c r="BD78" s="1005"/>
      <c r="BE78" s="1006"/>
      <c r="BH78" s="914" t="s">
        <v>1356</v>
      </c>
      <c r="BI78" s="937">
        <v>18</v>
      </c>
      <c r="BJ78" s="1005"/>
      <c r="BK78" s="1006"/>
    </row>
    <row r="79" spans="1:114">
      <c r="A79" s="907"/>
      <c r="B79" s="930"/>
      <c r="C79" s="919"/>
      <c r="D79" s="920"/>
      <c r="E79" s="921"/>
      <c r="F79" s="979"/>
      <c r="R79" s="996"/>
      <c r="S79" s="997"/>
      <c r="T79" s="965"/>
      <c r="U79" s="981"/>
      <c r="V79" s="965"/>
      <c r="X79" s="996"/>
      <c r="Y79" s="997"/>
      <c r="Z79" s="965"/>
      <c r="AA79" s="981"/>
      <c r="AC79" s="996"/>
      <c r="AD79" s="997"/>
      <c r="AE79" s="965"/>
      <c r="AF79" s="981"/>
      <c r="AH79" s="996"/>
      <c r="AI79" s="997"/>
      <c r="AJ79" s="965"/>
      <c r="AK79" s="981"/>
      <c r="AM79" s="996"/>
      <c r="AN79" s="997"/>
      <c r="AO79" s="965"/>
      <c r="AP79" s="981"/>
      <c r="AR79" s="996"/>
      <c r="AS79" s="997"/>
      <c r="AT79" s="965"/>
      <c r="AU79" s="981"/>
      <c r="AW79" s="996"/>
      <c r="AX79" s="997"/>
      <c r="AY79" s="965"/>
      <c r="AZ79" s="981"/>
      <c r="BB79" s="996"/>
      <c r="BC79" s="997"/>
      <c r="BD79" s="965"/>
      <c r="BE79" s="981"/>
      <c r="BH79" s="996"/>
      <c r="BI79" s="997"/>
      <c r="BJ79" s="965"/>
      <c r="BK79" s="981"/>
    </row>
    <row r="80" spans="1:114">
      <c r="A80" s="907"/>
      <c r="B80" s="930"/>
      <c r="C80" s="919"/>
      <c r="D80" s="920"/>
      <c r="E80" s="921"/>
      <c r="F80" s="979"/>
      <c r="R80" s="996"/>
      <c r="S80" s="997"/>
      <c r="T80" s="965"/>
      <c r="U80" s="981"/>
      <c r="V80" s="965"/>
      <c r="X80" s="996"/>
      <c r="Y80" s="997"/>
      <c r="Z80" s="965"/>
      <c r="AA80" s="981"/>
      <c r="AC80" s="996"/>
      <c r="AD80" s="997"/>
      <c r="AE80" s="965"/>
      <c r="AF80" s="981"/>
      <c r="AH80" s="996"/>
      <c r="AI80" s="997"/>
      <c r="AJ80" s="965"/>
      <c r="AK80" s="981"/>
      <c r="AM80" s="996"/>
      <c r="AN80" s="997"/>
      <c r="AO80" s="965"/>
      <c r="AP80" s="981"/>
      <c r="AR80" s="996"/>
      <c r="AS80" s="997"/>
      <c r="AT80" s="965"/>
      <c r="AU80" s="981"/>
      <c r="AW80" s="996"/>
      <c r="AX80" s="997"/>
      <c r="AY80" s="965"/>
      <c r="AZ80" s="981"/>
      <c r="BB80" s="996"/>
      <c r="BC80" s="997"/>
      <c r="BD80" s="965"/>
      <c r="BE80" s="981"/>
      <c r="BH80" s="996"/>
      <c r="BI80" s="997"/>
      <c r="BJ80" s="965"/>
      <c r="BK80" s="981"/>
    </row>
    <row r="81" spans="1:63">
      <c r="A81" s="907"/>
      <c r="B81" s="930"/>
      <c r="C81" s="919"/>
      <c r="D81" s="920"/>
      <c r="E81" s="921"/>
      <c r="F81" s="979"/>
      <c r="R81" s="996"/>
      <c r="S81" s="997"/>
      <c r="T81" s="965"/>
      <c r="U81" s="981"/>
      <c r="V81" s="965"/>
      <c r="X81" s="996"/>
      <c r="Y81" s="997"/>
      <c r="Z81" s="965"/>
      <c r="AA81" s="981"/>
      <c r="AC81" s="996"/>
      <c r="AD81" s="997"/>
      <c r="AE81" s="965"/>
      <c r="AF81" s="981"/>
      <c r="AH81" s="996"/>
      <c r="AI81" s="997"/>
      <c r="AJ81" s="965"/>
      <c r="AK81" s="981"/>
      <c r="AM81" s="996"/>
      <c r="AN81" s="997"/>
      <c r="AO81" s="965"/>
      <c r="AP81" s="981"/>
      <c r="AR81" s="996"/>
      <c r="AS81" s="997"/>
      <c r="AT81" s="965"/>
      <c r="AU81" s="981"/>
      <c r="AW81" s="996"/>
      <c r="AX81" s="997"/>
      <c r="AY81" s="965"/>
      <c r="AZ81" s="981"/>
      <c r="BB81" s="996"/>
      <c r="BC81" s="997"/>
      <c r="BD81" s="965"/>
      <c r="BE81" s="981"/>
      <c r="BH81" s="996"/>
      <c r="BI81" s="997"/>
      <c r="BJ81" s="965"/>
      <c r="BK81" s="981"/>
    </row>
    <row r="82" spans="1:63">
      <c r="A82" s="907"/>
      <c r="B82" s="930"/>
      <c r="C82" s="919"/>
      <c r="D82" s="920"/>
      <c r="E82" s="921"/>
      <c r="F82" s="979"/>
      <c r="R82" s="996"/>
      <c r="S82" s="997"/>
      <c r="T82" s="965"/>
      <c r="U82" s="981"/>
      <c r="V82" s="965"/>
      <c r="X82" s="996"/>
      <c r="Y82" s="997"/>
      <c r="Z82" s="965"/>
      <c r="AA82" s="981"/>
      <c r="AC82" s="996"/>
      <c r="AD82" s="997"/>
      <c r="AE82" s="965"/>
      <c r="AF82" s="981"/>
      <c r="AH82" s="996"/>
      <c r="AI82" s="997"/>
      <c r="AJ82" s="965"/>
      <c r="AK82" s="981"/>
      <c r="AM82" s="996"/>
      <c r="AN82" s="997"/>
      <c r="AO82" s="965"/>
      <c r="AP82" s="981"/>
      <c r="AR82" s="996"/>
      <c r="AS82" s="997"/>
      <c r="AT82" s="965"/>
      <c r="AU82" s="981"/>
      <c r="AW82" s="996"/>
      <c r="AX82" s="997"/>
      <c r="AY82" s="965"/>
      <c r="AZ82" s="981"/>
      <c r="BB82" s="996"/>
      <c r="BC82" s="997"/>
      <c r="BD82" s="965"/>
      <c r="BE82" s="981"/>
      <c r="BH82" s="996"/>
      <c r="BI82" s="997"/>
      <c r="BJ82" s="965"/>
      <c r="BK82" s="981"/>
    </row>
    <row r="83" spans="1:63">
      <c r="A83" s="907"/>
      <c r="B83" s="930"/>
      <c r="C83" s="919"/>
      <c r="D83" s="920"/>
      <c r="E83" s="921"/>
      <c r="F83" s="979"/>
      <c r="R83" s="996"/>
      <c r="S83" s="997"/>
      <c r="T83" s="965"/>
      <c r="U83" s="981"/>
      <c r="V83" s="965"/>
      <c r="X83" s="996"/>
      <c r="Y83" s="997"/>
      <c r="Z83" s="965"/>
      <c r="AA83" s="981"/>
      <c r="AC83" s="996"/>
      <c r="AD83" s="997"/>
      <c r="AE83" s="965"/>
      <c r="AF83" s="981"/>
      <c r="AH83" s="996"/>
      <c r="AI83" s="997"/>
      <c r="AJ83" s="965"/>
      <c r="AK83" s="981"/>
      <c r="AM83" s="996"/>
      <c r="AN83" s="997"/>
      <c r="AO83" s="965"/>
      <c r="AP83" s="981"/>
      <c r="AR83" s="996"/>
      <c r="AS83" s="997"/>
      <c r="AT83" s="965"/>
      <c r="AU83" s="981"/>
      <c r="AW83" s="996"/>
      <c r="AX83" s="997"/>
      <c r="AY83" s="965"/>
      <c r="AZ83" s="981"/>
      <c r="BB83" s="996"/>
      <c r="BC83" s="997"/>
      <c r="BD83" s="965"/>
      <c r="BE83" s="981"/>
      <c r="BH83" s="996"/>
      <c r="BI83" s="997"/>
      <c r="BJ83" s="965"/>
      <c r="BK83" s="981"/>
    </row>
    <row r="84" spans="1:63">
      <c r="A84" s="907"/>
      <c r="B84" s="1008" t="s">
        <v>936</v>
      </c>
      <c r="C84" s="919" t="str">
        <f t="shared" ref="C84:C92" si="10">IF(AND(D84="",E84=""),"",IF(E84="",D84,E84))</f>
        <v/>
      </c>
      <c r="D84" s="920" t="str">
        <f t="shared" ref="D84:D107" si="11">IF(INDEX(84:84,$E$2)="","", INDEX(84:84, $E$2))</f>
        <v/>
      </c>
      <c r="E84" s="921"/>
      <c r="F84" s="979"/>
      <c r="R84" s="978" t="s">
        <v>632</v>
      </c>
      <c r="S84" s="997"/>
      <c r="T84" s="965"/>
      <c r="U84" s="981"/>
      <c r="V84" s="965"/>
      <c r="X84" s="978" t="s">
        <v>632</v>
      </c>
      <c r="Y84" s="997"/>
      <c r="Z84" s="965"/>
      <c r="AA84" s="981"/>
      <c r="AC84" s="978" t="s">
        <v>632</v>
      </c>
      <c r="AD84" s="997"/>
      <c r="AE84" s="965"/>
      <c r="AF84" s="981"/>
      <c r="AH84" s="978" t="s">
        <v>632</v>
      </c>
      <c r="AI84" s="997"/>
      <c r="AJ84" s="965"/>
      <c r="AK84" s="981"/>
      <c r="AM84" s="978" t="s">
        <v>632</v>
      </c>
      <c r="AN84" s="997"/>
      <c r="AO84" s="965"/>
      <c r="AP84" s="981"/>
      <c r="AR84" s="978" t="s">
        <v>632</v>
      </c>
      <c r="AS84" s="997"/>
      <c r="AT84" s="965"/>
      <c r="AU84" s="981"/>
      <c r="AW84" s="978" t="s">
        <v>632</v>
      </c>
      <c r="AX84" s="997"/>
      <c r="AY84" s="965"/>
      <c r="AZ84" s="981"/>
      <c r="BB84" s="978" t="s">
        <v>632</v>
      </c>
      <c r="BC84" s="997"/>
      <c r="BD84" s="965"/>
      <c r="BE84" s="981"/>
      <c r="BH84" s="978" t="s">
        <v>632</v>
      </c>
      <c r="BI84" s="997"/>
      <c r="BJ84" s="965"/>
      <c r="BK84" s="981"/>
    </row>
    <row r="85" spans="1:63">
      <c r="A85" s="907"/>
      <c r="B85" s="930" t="s">
        <v>1121</v>
      </c>
      <c r="C85" s="1009">
        <f t="shared" si="10"/>
        <v>4.6097787786964585E-2</v>
      </c>
      <c r="D85" s="1010">
        <f t="shared" si="11"/>
        <v>4.6097787786964585E-2</v>
      </c>
      <c r="E85" s="921"/>
      <c r="F85" s="979"/>
      <c r="R85" s="914" t="s">
        <v>633</v>
      </c>
      <c r="S85" s="980">
        <f>1*6.94/96.1</f>
        <v>7.2216441207075974E-2</v>
      </c>
      <c r="T85" s="965"/>
      <c r="U85" s="981"/>
      <c r="V85" s="965"/>
      <c r="X85" s="914" t="str">
        <f>Y6</f>
        <v>NMC622</v>
      </c>
      <c r="Y85" s="980">
        <f ca="1">OFFSET(Lists!$P$18,  MATCH(X85, Lists!$K$19:$K$68, 0), MATCH("Li", Lists!$Q$17:$AM$17, 0))*INDEX(Lists!$Q$18:$AV$18, MATCH("Li", Lists!$Q$17:$AV$17, 0)) /Y$7</f>
        <v>7.7203428438238325E-2</v>
      </c>
      <c r="Z85" s="965"/>
      <c r="AA85" s="981"/>
      <c r="AC85" s="914" t="s">
        <v>633</v>
      </c>
      <c r="AD85" s="980">
        <f>1.05*6.94/87.61</f>
        <v>8.3175436593996135E-2</v>
      </c>
      <c r="AE85" s="965"/>
      <c r="AF85" s="981"/>
      <c r="AH85" s="914" t="s">
        <v>633</v>
      </c>
      <c r="AI85" s="980">
        <f>1.05*6.94/158.077</f>
        <v>4.6097787786964585E-2</v>
      </c>
      <c r="AJ85" s="965"/>
      <c r="AK85" s="981"/>
      <c r="AM85" s="914" t="s">
        <v>633</v>
      </c>
      <c r="AN85" s="980">
        <f>1.05*6.94/178.4</f>
        <v>4.0846412556053813E-2</v>
      </c>
      <c r="AO85" s="965"/>
      <c r="AP85" s="981"/>
      <c r="AR85" s="914" t="s">
        <v>633</v>
      </c>
      <c r="AS85" s="937">
        <f>INDEX(R85:FB85, MATCH($AU$7, $R$6:$FB$6, 0))*$AU$8 + INDEX(R85:FB85, MATCH($AU$9, $R$6:$FB$6, 0))*(1-$AU$8)</f>
        <v>4.0846412556053813E-2</v>
      </c>
      <c r="AT85" s="965"/>
      <c r="AU85" s="981"/>
      <c r="AW85" s="914" t="s">
        <v>633</v>
      </c>
      <c r="AX85" s="980">
        <f>1.05*6.94/178.4</f>
        <v>4.0846412556053813E-2</v>
      </c>
      <c r="AY85" s="965"/>
      <c r="AZ85" s="981"/>
      <c r="BB85" s="914" t="s">
        <v>633</v>
      </c>
      <c r="BC85" s="980">
        <f>1.05*6.94/178.4</f>
        <v>4.0846412556053813E-2</v>
      </c>
      <c r="BD85" s="965"/>
      <c r="BE85" s="981"/>
      <c r="BH85" s="914" t="s">
        <v>633</v>
      </c>
      <c r="BI85" s="980">
        <f>1.05*6.94/178.4</f>
        <v>4.0846412556053813E-2</v>
      </c>
      <c r="BJ85" s="965"/>
      <c r="BK85" s="981"/>
    </row>
    <row r="86" spans="1:63">
      <c r="A86" s="907"/>
      <c r="B86" s="930" t="s">
        <v>1122</v>
      </c>
      <c r="C86" s="1009">
        <f t="shared" si="10"/>
        <v>0</v>
      </c>
      <c r="D86" s="1010">
        <f t="shared" si="11"/>
        <v>0</v>
      </c>
      <c r="E86" s="921"/>
      <c r="F86" s="979"/>
      <c r="R86" s="914" t="s">
        <v>634</v>
      </c>
      <c r="S86" s="980">
        <v>0</v>
      </c>
      <c r="T86" s="965"/>
      <c r="U86" s="981"/>
      <c r="V86" s="965"/>
      <c r="X86" s="914" t="s">
        <v>907</v>
      </c>
      <c r="Y86" s="980">
        <f ca="1">OFFSET(Lists!$P$18,  MATCH(X86, Lists!$K$19:$K$68, 0), MATCH("Li", Lists!$Q$17:$AM$17, 0))*INDEX(Lists!$Q$18:$AV$18, MATCH("Li", Lists!$Q$17:$AV$17, 0)) /Y$7</f>
        <v>0</v>
      </c>
      <c r="Z86" s="965"/>
      <c r="AA86" s="981"/>
      <c r="AC86" s="914" t="s">
        <v>634</v>
      </c>
      <c r="AD86" s="980">
        <v>0</v>
      </c>
      <c r="AE86" s="965"/>
      <c r="AF86" s="981"/>
      <c r="AH86" s="914" t="s">
        <v>634</v>
      </c>
      <c r="AI86" s="980">
        <v>0</v>
      </c>
      <c r="AJ86" s="965"/>
      <c r="AK86" s="981"/>
      <c r="AM86" s="914" t="s">
        <v>634</v>
      </c>
      <c r="AN86" s="980">
        <v>0</v>
      </c>
      <c r="AO86" s="965"/>
      <c r="AP86" s="981"/>
      <c r="AR86" s="914" t="s">
        <v>634</v>
      </c>
      <c r="AS86" s="937">
        <f>INDEX(R86:FB86, MATCH($AU$7, $R$6:$FB$6, 0))*$AU$8 + INDEX(R86:FB86, MATCH($AU$9, $R$6:$FB$6, 0))*(1-$AU$8)</f>
        <v>0</v>
      </c>
      <c r="AT86" s="965"/>
      <c r="AU86" s="981"/>
      <c r="AW86" s="914" t="s">
        <v>634</v>
      </c>
      <c r="AX86" s="980">
        <v>0</v>
      </c>
      <c r="AY86" s="965"/>
      <c r="AZ86" s="981"/>
      <c r="BB86" s="914" t="s">
        <v>634</v>
      </c>
      <c r="BC86" s="980">
        <v>0</v>
      </c>
      <c r="BD86" s="965"/>
      <c r="BE86" s="981"/>
      <c r="BH86" s="914" t="s">
        <v>634</v>
      </c>
      <c r="BI86" s="980">
        <f>4*6.94/459.3</f>
        <v>6.0439799695188333E-2</v>
      </c>
      <c r="BJ86" s="965"/>
      <c r="BK86" s="981"/>
    </row>
    <row r="87" spans="1:63">
      <c r="A87" s="907"/>
      <c r="B87" s="930" t="s">
        <v>891</v>
      </c>
      <c r="C87" s="1009">
        <f t="shared" ca="1" si="10"/>
        <v>0</v>
      </c>
      <c r="D87" s="1010">
        <f t="shared" ca="1" si="11"/>
        <v>0</v>
      </c>
      <c r="E87" s="921"/>
      <c r="F87" s="979"/>
      <c r="R87" s="914" t="str">
        <f>$B87</f>
        <v>Ni</v>
      </c>
      <c r="S87" s="980">
        <f ca="1">OFFSET(Lists!$P$18,  MATCH(S$6, Lists!$K$19:$K$68, 0), MATCH(R87, Lists!$Q$17:$AM$17, 0))*INDEX(Lists!$Q$18:$AV$18, MATCH(R87, Lists!$Q$17:$AV$17, 0)) /S$7</f>
        <v>0.48875869568610719</v>
      </c>
      <c r="T87" s="965"/>
      <c r="U87" s="981"/>
      <c r="V87" s="965"/>
      <c r="X87" s="914" t="str">
        <f>$B87</f>
        <v>Ni</v>
      </c>
      <c r="Y87" s="980">
        <f ca="1">OFFSET(Lists!$P$18,  MATCH(Y$6, Lists!$K$19:$K$68, 0), MATCH(X87, Lists!$Q$17:$AM$17, 0))*INDEX(Lists!$Q$18:$AV$18, MATCH(X87, Lists!$Q$17:$AV$17, 0)) /Y$7</f>
        <v>0.35454776611185862</v>
      </c>
      <c r="Z87" s="965"/>
      <c r="AA87" s="981"/>
      <c r="AC87" s="914" t="str">
        <f>$B87</f>
        <v>Ni</v>
      </c>
      <c r="AD87" s="980">
        <f ca="1">OFFSET(Lists!$P$18,  MATCH(AD$6, Lists!$K$19:$K$68, 0), MATCH(AC87, Lists!$Q$17:$AM$17, 0))*INDEX(Lists!$Q$18:$AV$18, MATCH(AC87, Lists!$Q$17:$AV$17, 0)) /AD$7</f>
        <v>0.19783103663537183</v>
      </c>
      <c r="AE87" s="965"/>
      <c r="AF87" s="981"/>
      <c r="AH87" s="914" t="str">
        <f>$B87</f>
        <v>Ni</v>
      </c>
      <c r="AI87" s="980">
        <f ca="1">OFFSET(Lists!$P$18,  MATCH(AI$6, Lists!$K$19:$K$68, 0), MATCH(AH87, Lists!$Q$17:$AM$17, 0))*INDEX(Lists!$Q$18:$AV$18, MATCH(AH87, Lists!$Q$17:$AV$17, 0)) /AI$7</f>
        <v>0</v>
      </c>
      <c r="AJ87" s="965"/>
      <c r="AK87" s="981"/>
      <c r="AM87" s="914" t="str">
        <f>$B87</f>
        <v>Ni</v>
      </c>
      <c r="AN87" s="980">
        <f ca="1">OFFSET(Lists!$P$18,  MATCH(AN$6, Lists!$K$19:$K$68, 0), MATCH(AM87, Lists!$Q$17:$AM$17, 0))*INDEX(Lists!$Q$18:$AV$18, MATCH(AM87, Lists!$Q$17:$AV$17, 0)) /AN$7</f>
        <v>0</v>
      </c>
      <c r="AO87" s="965"/>
      <c r="AP87" s="981"/>
      <c r="AR87" s="914" t="s">
        <v>643</v>
      </c>
      <c r="AS87" s="937">
        <f ca="1">INDEX(R87:FB87, MATCH($AU$7, $R$6:$FB$6, 0))*$AU$8 + INDEX(R87:FB87, MATCH($AU$9, $R$6:$FB$6, 0))*(1-$AU$8)</f>
        <v>0.14829092347720937</v>
      </c>
      <c r="AT87" s="965"/>
      <c r="AU87" s="981"/>
      <c r="AW87" s="914" t="str">
        <f>$B87</f>
        <v>Ni</v>
      </c>
      <c r="AX87" s="980">
        <f ca="1">OFFSET(Lists!$P$18,  MATCH(AX$6, Lists!$K$19:$K$68, 0), MATCH(AW87, Lists!$Q$17:$AM$17, 0))*INDEX(Lists!$Q$18:$AV$18, MATCH(AW87, Lists!$Q$17:$AV$17, 0)) /AX$7</f>
        <v>0.47104727670052809</v>
      </c>
      <c r="AY87" s="965"/>
      <c r="AZ87" s="981"/>
      <c r="BB87" s="914" t="str">
        <f>$B87</f>
        <v>Ni</v>
      </c>
      <c r="BC87" s="980">
        <f ca="1">OFFSET(Lists!$P$18,  MATCH(BC$6, Lists!$K$19:$K$68, 0), MATCH(BB87, Lists!$Q$17:$AM$17, 0))*INDEX(Lists!$Q$18:$AV$18, MATCH(BB87, Lists!$Q$17:$AV$17, 0)) /BC$7</f>
        <v>0.29658184695441875</v>
      </c>
      <c r="BD87" s="965"/>
      <c r="BE87" s="981"/>
      <c r="BH87" s="914" t="str">
        <f>$B87</f>
        <v>Ni</v>
      </c>
      <c r="BI87" s="980">
        <f ca="1">OFFSET(Lists!$P$18,  MATCH(BI$6, Lists!$K$19:$K$68, 0), MATCH(BH87, Lists!$Q$17:$AM$17, 0))*INDEX(Lists!$Q$18:$AV$18, MATCH(BH87, Lists!$Q$17:$AV$17, 0)) /BI$7</f>
        <v>0</v>
      </c>
      <c r="BJ87" s="965"/>
      <c r="BK87" s="981"/>
    </row>
    <row r="88" spans="1:63">
      <c r="A88" s="907"/>
      <c r="B88" s="930" t="s">
        <v>893</v>
      </c>
      <c r="C88" s="1009">
        <f t="shared" ca="1" si="10"/>
        <v>0</v>
      </c>
      <c r="D88" s="1010">
        <f t="shared" ca="1" si="11"/>
        <v>0</v>
      </c>
      <c r="E88" s="921"/>
      <c r="F88" s="979"/>
      <c r="R88" s="914" t="str">
        <f>$B88</f>
        <v>Co</v>
      </c>
      <c r="S88" s="980">
        <f ca="1">OFFSET(Lists!$P$18,  MATCH(S$6, Lists!$K$19:$K$68, 0), MATCH(R88, Lists!$Q$17:$AM$17, 0))*INDEX(Lists!$Q$18:$AV$18, MATCH(R88, Lists!$Q$17:$AV$17, 0)) /S$7</f>
        <v>9.1985660247771758E-2</v>
      </c>
      <c r="T88" s="965"/>
      <c r="U88" s="981"/>
      <c r="V88" s="965"/>
      <c r="X88" s="914" t="str">
        <f>$B88</f>
        <v>Co</v>
      </c>
      <c r="Y88" s="980">
        <f ca="1">OFFSET(Lists!$P$18,  MATCH(Y$6, Lists!$K$19:$K$68, 0), MATCH(X88, Lists!$Q$17:$AM$17, 0))*INDEX(Lists!$Q$18:$AV$18, MATCH(X88, Lists!$Q$17:$AV$17, 0)) /Y$7</f>
        <v>0.1186254463008677</v>
      </c>
      <c r="Z88" s="965"/>
      <c r="AA88" s="981"/>
      <c r="AC88" s="914" t="str">
        <f>$B88</f>
        <v>Co</v>
      </c>
      <c r="AD88" s="980">
        <f ca="1">OFFSET(Lists!$P$18,  MATCH(AD$6, Lists!$K$19:$K$68, 0), MATCH(AC88, Lists!$Q$17:$AM$17, 0))*INDEX(Lists!$Q$18:$AV$18, MATCH(AC88, Lists!$Q$17:$AV$17, 0)) /AD$7</f>
        <v>0.19857235545771526</v>
      </c>
      <c r="AE88" s="965"/>
      <c r="AF88" s="981"/>
      <c r="AH88" s="914" t="str">
        <f>$B88</f>
        <v>Co</v>
      </c>
      <c r="AI88" s="980">
        <f ca="1">OFFSET(Lists!$P$18,  MATCH(AI$6, Lists!$K$19:$K$68, 0), MATCH(AH88, Lists!$Q$17:$AM$17, 0))*INDEX(Lists!$Q$18:$AV$18, MATCH(AH88, Lists!$Q$17:$AV$17, 0)) /AI$7</f>
        <v>0</v>
      </c>
      <c r="AJ88" s="965"/>
      <c r="AK88" s="981"/>
      <c r="AM88" s="914" t="str">
        <f>$B88</f>
        <v>Co</v>
      </c>
      <c r="AN88" s="980">
        <f ca="1">OFFSET(Lists!$P$18,  MATCH(AN$6, Lists!$K$19:$K$68, 0), MATCH(AM88, Lists!$Q$17:$AM$17, 0))*INDEX(Lists!$Q$18:$AV$18, MATCH(AM88, Lists!$Q$17:$AV$17, 0)) /AN$7</f>
        <v>0</v>
      </c>
      <c r="AO88" s="965"/>
      <c r="AP88" s="981"/>
      <c r="AR88" s="914" t="s">
        <v>644</v>
      </c>
      <c r="AS88" s="937">
        <f ca="1">INDEX(R88:FB88, MATCH($AU$7, $R$6:$FB$6, 0))*$AU$8 + INDEX(R88:FB88, MATCH($AU$9, $R$6:$FB$6, 0))*(1-$AU$8)</f>
        <v>5.9538641597764938E-2</v>
      </c>
      <c r="AT88" s="965"/>
      <c r="AU88" s="981"/>
      <c r="AW88" s="914" t="str">
        <f>$B88</f>
        <v>Co</v>
      </c>
      <c r="AX88" s="980">
        <f ca="1">OFFSET(Lists!$P$18,  MATCH(AX$6, Lists!$K$19:$K$68, 0), MATCH(AW88, Lists!$Q$17:$AM$17, 0))*INDEX(Lists!$Q$18:$AV$18, MATCH(AW88, Lists!$Q$17:$AV$17, 0)) /AX$7</f>
        <v>5.9101550025468665E-2</v>
      </c>
      <c r="AY88" s="965"/>
      <c r="AZ88" s="981"/>
      <c r="BB88" s="914" t="str">
        <f>$B88</f>
        <v>Co</v>
      </c>
      <c r="BC88" s="980">
        <f ca="1">OFFSET(Lists!$P$18,  MATCH(BC$6, Lists!$K$19:$K$68, 0), MATCH(BB88, Lists!$Q$17:$AM$17, 0))*INDEX(Lists!$Q$18:$AV$18, MATCH(BB88, Lists!$Q$17:$AV$17, 0)) /BC$7</f>
        <v>0.11907728319552988</v>
      </c>
      <c r="BD88" s="965"/>
      <c r="BE88" s="981"/>
      <c r="BH88" s="914" t="str">
        <f>$B88</f>
        <v>Co</v>
      </c>
      <c r="BI88" s="980">
        <f ca="1">OFFSET(Lists!$P$18,  MATCH(BI$6, Lists!$K$19:$K$68, 0), MATCH(BH88, Lists!$Q$17:$AM$17, 0))*INDEX(Lists!$Q$18:$AV$18, MATCH(BH88, Lists!$Q$17:$AV$17, 0)) /BI$7</f>
        <v>0</v>
      </c>
      <c r="BJ88" s="965"/>
      <c r="BK88" s="981"/>
    </row>
    <row r="89" spans="1:63">
      <c r="A89" s="907"/>
      <c r="B89" s="930" t="s">
        <v>892</v>
      </c>
      <c r="C89" s="1009">
        <f t="shared" ca="1" si="10"/>
        <v>0</v>
      </c>
      <c r="D89" s="1010">
        <f t="shared" ca="1" si="11"/>
        <v>0</v>
      </c>
      <c r="E89" s="921"/>
      <c r="F89" s="979"/>
      <c r="R89" s="914" t="str">
        <f>$B89</f>
        <v>Mn</v>
      </c>
      <c r="S89" s="980">
        <f ca="1">OFFSET(Lists!$P$18,  MATCH(S$6, Lists!$K$19:$K$68, 0), MATCH(R89, Lists!$Q$17:$AM$17, 0))*INDEX(Lists!$Q$18:$AV$18, MATCH(R89, Lists!$Q$17:$AV$17, 0)) /S$7</f>
        <v>0</v>
      </c>
      <c r="T89" s="965"/>
      <c r="U89" s="981"/>
      <c r="V89" s="965"/>
      <c r="X89" s="914" t="str">
        <f>$B89</f>
        <v>Mn</v>
      </c>
      <c r="Y89" s="980">
        <f ca="1">OFFSET(Lists!$P$18,  MATCH(Y$6, Lists!$K$19:$K$68, 0), MATCH(X89, Lists!$Q$17:$AM$17, 0))*INDEX(Lists!$Q$18:$AV$18, MATCH(X89, Lists!$Q$17:$AV$17, 0)) /Y$7</f>
        <v>0.1105936198840942</v>
      </c>
      <c r="Z89" s="965"/>
      <c r="AA89" s="981"/>
      <c r="AC89" s="914" t="str">
        <f>$B89</f>
        <v>Mn</v>
      </c>
      <c r="AD89" s="980">
        <f ca="1">OFFSET(Lists!$P$18,  MATCH(AD$6, Lists!$K$19:$K$68, 0), MATCH(AC89, Lists!$Q$17:$AM$17, 0))*INDEX(Lists!$Q$18:$AV$18, MATCH(AC89, Lists!$Q$17:$AV$17, 0)) /AD$7</f>
        <v>0.18512752772521426</v>
      </c>
      <c r="AE89" s="965"/>
      <c r="AF89" s="981"/>
      <c r="AH89" s="914" t="str">
        <f>$B89</f>
        <v>Mn</v>
      </c>
      <c r="AI89" s="980">
        <f ca="1">OFFSET(Lists!$P$18,  MATCH(AI$6, Lists!$K$19:$K$68, 0), MATCH(AH89, Lists!$Q$17:$AM$17, 0))*INDEX(Lists!$Q$18:$AV$18, MATCH(AH89, Lists!$Q$17:$AV$17, 0)) /AI$7</f>
        <v>0</v>
      </c>
      <c r="AJ89" s="965"/>
      <c r="AK89" s="981"/>
      <c r="AM89" s="914" t="str">
        <f>$B89</f>
        <v>Mn</v>
      </c>
      <c r="AN89" s="980">
        <f ca="1">OFFSET(Lists!$P$18,  MATCH(AN$6, Lists!$K$19:$K$68, 0), MATCH(AM89, Lists!$Q$17:$AM$17, 0))*INDEX(Lists!$Q$18:$AV$18, MATCH(AM89, Lists!$Q$17:$AV$17, 0)) /AN$7</f>
        <v>0.59303488239972735</v>
      </c>
      <c r="AO89" s="965"/>
      <c r="AP89" s="981"/>
      <c r="AR89" s="914" t="s">
        <v>668</v>
      </c>
      <c r="AS89" s="937">
        <f ca="1">INDEX(R89:FB89, MATCH($AU$7, $R$6:$FB$6, 0))*$AU$8 + INDEX(R89:FB89, MATCH($AU$9, $R$6:$FB$6, 0))*(1-$AU$8)</f>
        <v>0.37977858924112973</v>
      </c>
      <c r="AT89" s="965"/>
      <c r="AU89" s="981"/>
      <c r="AW89" s="914" t="str">
        <f>$B89</f>
        <v>Mn</v>
      </c>
      <c r="AX89" s="980">
        <f ca="1">OFFSET(Lists!$P$18,  MATCH(AX$6, Lists!$K$19:$K$68, 0), MATCH(AW89, Lists!$Q$17:$AM$17, 0))*INDEX(Lists!$Q$18:$AV$18, MATCH(AW89, Lists!$Q$17:$AV$17, 0)) /AX$7</f>
        <v>5.509993481077971E-2</v>
      </c>
      <c r="AY89" s="965"/>
      <c r="AZ89" s="981"/>
      <c r="BB89" s="914" t="str">
        <f>$B89</f>
        <v>Mn</v>
      </c>
      <c r="BC89" s="980">
        <f ca="1">OFFSET(Lists!$P$18,  MATCH(BC$6, Lists!$K$19:$K$68, 0), MATCH(BB89, Lists!$Q$17:$AM$17, 0))*INDEX(Lists!$Q$18:$AV$18, MATCH(BB89, Lists!$Q$17:$AV$17, 0)) /BC$7</f>
        <v>0.16652229608253208</v>
      </c>
      <c r="BD89" s="965"/>
      <c r="BE89" s="981"/>
      <c r="BH89" s="914" t="str">
        <f>$B89</f>
        <v>Mn</v>
      </c>
      <c r="BI89" s="980">
        <f ca="1">OFFSET(Lists!$P$18,  MATCH(BI$6, Lists!$K$19:$K$68, 0), MATCH(BH89, Lists!$Q$17:$AM$17, 0))*INDEX(Lists!$Q$18:$AV$18, MATCH(BH89, Lists!$Q$17:$AV$17, 0)) /BI$7</f>
        <v>0.59303488239972735</v>
      </c>
      <c r="BJ89" s="965"/>
      <c r="BK89" s="981"/>
    </row>
    <row r="90" spans="1:63">
      <c r="A90" s="907"/>
      <c r="B90" s="930"/>
      <c r="C90" s="1011" t="str">
        <f t="shared" si="10"/>
        <v/>
      </c>
      <c r="D90" s="920" t="str">
        <f t="shared" si="11"/>
        <v/>
      </c>
      <c r="E90" s="921"/>
      <c r="F90" s="979"/>
      <c r="R90" s="914"/>
      <c r="S90" s="980"/>
      <c r="T90" s="965"/>
      <c r="U90" s="981"/>
      <c r="V90" s="965"/>
      <c r="X90" s="914"/>
      <c r="Y90" s="980"/>
      <c r="Z90" s="965"/>
      <c r="AA90" s="981"/>
      <c r="AC90" s="914"/>
      <c r="AD90" s="980"/>
      <c r="AE90" s="965"/>
      <c r="AF90" s="981"/>
      <c r="AH90" s="914"/>
      <c r="AI90" s="980"/>
      <c r="AJ90" s="965"/>
      <c r="AK90" s="981"/>
      <c r="AM90" s="914"/>
      <c r="AN90" s="980"/>
      <c r="AO90" s="965"/>
      <c r="AP90" s="981"/>
      <c r="AR90" s="914"/>
      <c r="AS90" s="980"/>
      <c r="AT90" s="965"/>
      <c r="AU90" s="981"/>
      <c r="AW90" s="914"/>
      <c r="AX90" s="980"/>
      <c r="AY90" s="965"/>
      <c r="AZ90" s="981"/>
      <c r="BB90" s="914"/>
      <c r="BC90" s="980"/>
      <c r="BD90" s="965"/>
      <c r="BE90" s="981"/>
      <c r="BH90" s="914"/>
      <c r="BI90" s="980"/>
      <c r="BJ90" s="965"/>
      <c r="BK90" s="981"/>
    </row>
    <row r="91" spans="1:63">
      <c r="A91" s="907"/>
      <c r="B91" s="1008"/>
      <c r="C91" s="1012" t="str">
        <f t="shared" si="10"/>
        <v/>
      </c>
      <c r="D91" s="920" t="str">
        <f t="shared" si="11"/>
        <v/>
      </c>
      <c r="E91" s="921"/>
      <c r="F91" s="1013"/>
      <c r="R91" s="978" t="s">
        <v>167</v>
      </c>
      <c r="S91" s="980"/>
      <c r="T91" s="1014"/>
      <c r="U91" s="989"/>
      <c r="X91" s="978" t="s">
        <v>167</v>
      </c>
      <c r="Y91" s="980"/>
      <c r="Z91" s="1014"/>
      <c r="AA91" s="989"/>
      <c r="AC91" s="978" t="s">
        <v>167</v>
      </c>
      <c r="AD91" s="980"/>
      <c r="AE91" s="1014"/>
      <c r="AF91" s="989"/>
      <c r="AH91" s="978" t="s">
        <v>167</v>
      </c>
      <c r="AI91" s="980"/>
      <c r="AJ91" s="1014"/>
      <c r="AK91" s="989"/>
      <c r="AM91" s="978" t="s">
        <v>167</v>
      </c>
      <c r="AN91" s="980"/>
      <c r="AO91" s="1014"/>
      <c r="AP91" s="989"/>
      <c r="AR91" s="978" t="s">
        <v>167</v>
      </c>
      <c r="AS91" s="980"/>
      <c r="AT91" s="1014"/>
      <c r="AU91" s="989"/>
      <c r="AW91" s="978" t="s">
        <v>167</v>
      </c>
      <c r="AX91" s="980"/>
      <c r="AY91" s="1014"/>
      <c r="AZ91" s="989"/>
      <c r="BB91" s="978" t="s">
        <v>167</v>
      </c>
      <c r="BC91" s="980"/>
      <c r="BD91" s="1014"/>
      <c r="BE91" s="989"/>
      <c r="BH91" s="978" t="s">
        <v>167</v>
      </c>
      <c r="BI91" s="980"/>
      <c r="BJ91" s="1014"/>
      <c r="BK91" s="989"/>
    </row>
    <row r="92" spans="1:63">
      <c r="A92" s="907"/>
      <c r="B92" s="1008" t="s">
        <v>933</v>
      </c>
      <c r="C92" s="1011" t="str">
        <f t="shared" si="10"/>
        <v/>
      </c>
      <c r="D92" s="920" t="str">
        <f t="shared" si="11"/>
        <v/>
      </c>
      <c r="E92" s="921"/>
      <c r="F92" s="1015"/>
      <c r="R92" s="978"/>
      <c r="S92" s="1016"/>
      <c r="T92" s="965"/>
      <c r="U92" s="1017"/>
      <c r="X92" s="978"/>
      <c r="Y92" s="1016"/>
      <c r="Z92" s="965"/>
      <c r="AA92" s="1017"/>
      <c r="AC92" s="978"/>
      <c r="AD92" s="1016"/>
      <c r="AE92" s="965"/>
      <c r="AF92" s="1017"/>
      <c r="AH92" s="978"/>
      <c r="AI92" s="1016"/>
      <c r="AJ92" s="965"/>
      <c r="AK92" s="1017"/>
      <c r="AM92" s="978"/>
      <c r="AN92" s="1016"/>
      <c r="AO92" s="965"/>
      <c r="AP92" s="1017"/>
      <c r="AR92" s="978"/>
      <c r="AS92" s="1016"/>
      <c r="AT92" s="965"/>
      <c r="AU92" s="1017"/>
      <c r="AW92" s="978"/>
      <c r="AX92" s="1016"/>
      <c r="AY92" s="965"/>
      <c r="AZ92" s="1017"/>
      <c r="BB92" s="978"/>
      <c r="BC92" s="1016"/>
      <c r="BD92" s="965"/>
      <c r="BE92" s="1017"/>
      <c r="BH92" s="978"/>
      <c r="BI92" s="1016"/>
      <c r="BJ92" s="965"/>
      <c r="BK92" s="1017"/>
    </row>
    <row r="93" spans="1:63">
      <c r="A93" s="907"/>
      <c r="B93" s="1008" t="s">
        <v>1124</v>
      </c>
      <c r="C93" s="982"/>
      <c r="D93" s="920" t="str">
        <f t="shared" si="11"/>
        <v/>
      </c>
      <c r="E93" s="921"/>
      <c r="F93" s="1018"/>
      <c r="R93" s="914" t="s">
        <v>29</v>
      </c>
      <c r="S93" s="997"/>
      <c r="T93" s="915"/>
      <c r="U93" s="1019"/>
      <c r="X93" s="914" t="s">
        <v>1124</v>
      </c>
      <c r="Y93" s="997"/>
      <c r="Z93" s="915"/>
      <c r="AA93" s="1019"/>
      <c r="AC93" s="914" t="s">
        <v>29</v>
      </c>
      <c r="AD93" s="997"/>
      <c r="AE93" s="915"/>
      <c r="AF93" s="1019"/>
      <c r="AH93" s="914" t="s">
        <v>29</v>
      </c>
      <c r="AI93" s="997"/>
      <c r="AJ93" s="915"/>
      <c r="AK93" s="1019"/>
      <c r="AM93" s="914" t="s">
        <v>29</v>
      </c>
      <c r="AN93" s="997"/>
      <c r="AO93" s="915"/>
      <c r="AP93" s="1019"/>
      <c r="AR93" s="914" t="s">
        <v>29</v>
      </c>
      <c r="AS93" s="997"/>
      <c r="AT93" s="915"/>
      <c r="AU93" s="1019"/>
      <c r="AW93" s="914" t="s">
        <v>29</v>
      </c>
      <c r="AX93" s="997"/>
      <c r="AY93" s="915"/>
      <c r="AZ93" s="1019"/>
      <c r="BB93" s="914" t="s">
        <v>29</v>
      </c>
      <c r="BC93" s="997"/>
      <c r="BD93" s="915"/>
      <c r="BE93" s="1019"/>
      <c r="BH93" s="914" t="s">
        <v>29</v>
      </c>
      <c r="BI93" s="997"/>
      <c r="BJ93" s="915"/>
      <c r="BK93" s="1019"/>
    </row>
    <row r="94" spans="1:63">
      <c r="A94" s="907" t="s">
        <v>991</v>
      </c>
      <c r="B94" s="943" t="s">
        <v>1119</v>
      </c>
      <c r="C94" s="1020">
        <f>IF(NOT(Dashboard!I11=""),Dashboard!I11,IF(AND(D94="",E94=""),"",IF(E94="",D94,E94)))</f>
        <v>7</v>
      </c>
      <c r="D94" s="1021">
        <f t="shared" si="11"/>
        <v>14</v>
      </c>
      <c r="E94" s="921"/>
      <c r="F94" s="1018"/>
      <c r="R94" s="946" t="s">
        <v>169</v>
      </c>
      <c r="S94" s="1022">
        <v>21.5</v>
      </c>
      <c r="T94" s="915"/>
      <c r="U94" s="1019"/>
      <c r="X94" s="946" t="s">
        <v>169</v>
      </c>
      <c r="Y94" s="1022">
        <v>20.6</v>
      </c>
      <c r="Z94" s="915"/>
      <c r="AA94" s="1019"/>
      <c r="AC94" s="946" t="s">
        <v>169</v>
      </c>
      <c r="AD94" s="1022">
        <v>21</v>
      </c>
      <c r="AE94" s="915"/>
      <c r="AF94" s="1019"/>
      <c r="AH94" s="946" t="s">
        <v>169</v>
      </c>
      <c r="AI94" s="1022">
        <v>14</v>
      </c>
      <c r="AJ94" s="915"/>
      <c r="AK94" s="1019"/>
      <c r="AM94" s="946" t="s">
        <v>169</v>
      </c>
      <c r="AN94" s="1022">
        <v>10</v>
      </c>
      <c r="AO94" s="915"/>
      <c r="AP94" s="1019"/>
      <c r="AR94" s="946" t="s">
        <v>169</v>
      </c>
      <c r="AS94" s="937">
        <f>INDEX(R94:FB94, MATCH($AU$7, $R$6:$FB$6, 0))*$AU$8 + INDEX(R94:FB94, MATCH($AU$9, $R$6:$FB$6, 0))*(1-$AU$8)</f>
        <v>15</v>
      </c>
      <c r="AT94" s="915"/>
      <c r="AU94" s="1019"/>
      <c r="AW94" s="946" t="s">
        <v>169</v>
      </c>
      <c r="AX94" s="1022">
        <v>22</v>
      </c>
      <c r="AY94" s="915"/>
      <c r="AZ94" s="1019"/>
      <c r="BB94" s="946" t="s">
        <v>169</v>
      </c>
      <c r="BC94" s="1022">
        <v>20</v>
      </c>
      <c r="BD94" s="915"/>
      <c r="BE94" s="1019"/>
      <c r="BH94" s="946" t="s">
        <v>169</v>
      </c>
      <c r="BI94" s="1022">
        <v>10</v>
      </c>
      <c r="BJ94" s="915"/>
      <c r="BK94" s="1019"/>
    </row>
    <row r="95" spans="1:63">
      <c r="A95" s="907" t="s">
        <v>991</v>
      </c>
      <c r="B95" s="943" t="s">
        <v>1120</v>
      </c>
      <c r="C95" s="1020">
        <f>IF(NOT(Dashboard!I12=""),Dashboard!I12,IF(AND(D95="",E95=""),"",IF(E95="",D95,E95)))</f>
        <v>6.6</v>
      </c>
      <c r="D95" s="1021">
        <f t="shared" si="11"/>
        <v>6.6</v>
      </c>
      <c r="E95" s="921"/>
      <c r="F95" s="1018"/>
      <c r="R95" s="946" t="s">
        <v>221</v>
      </c>
      <c r="S95" s="1022">
        <v>6.6</v>
      </c>
      <c r="T95" s="915"/>
      <c r="U95" s="1019"/>
      <c r="X95" s="946" t="s">
        <v>221</v>
      </c>
      <c r="Y95" s="1022">
        <v>6.6</v>
      </c>
      <c r="Z95" s="915"/>
      <c r="AA95" s="1019"/>
      <c r="AC95" s="946" t="s">
        <v>221</v>
      </c>
      <c r="AD95" s="1022">
        <v>6.6</v>
      </c>
      <c r="AE95" s="915"/>
      <c r="AF95" s="1019"/>
      <c r="AH95" s="946" t="s">
        <v>221</v>
      </c>
      <c r="AI95" s="1022">
        <v>6.6</v>
      </c>
      <c r="AJ95" s="915"/>
      <c r="AK95" s="1019"/>
      <c r="AM95" s="946" t="s">
        <v>221</v>
      </c>
      <c r="AN95" s="1022">
        <v>6.6</v>
      </c>
      <c r="AO95" s="915"/>
      <c r="AP95" s="1019"/>
      <c r="AR95" s="946" t="s">
        <v>221</v>
      </c>
      <c r="AS95" s="937">
        <f>INDEX(R95:FB95, MATCH($AU$7, $R$6:$FB$6, 0))*$AU$8 + INDEX(R95:FB95, MATCH($AU$9, $R$6:$FB$6, 0))*(1-$AU$8)</f>
        <v>6.6</v>
      </c>
      <c r="AT95" s="915"/>
      <c r="AU95" s="1019"/>
      <c r="AW95" s="946" t="s">
        <v>221</v>
      </c>
      <c r="AX95" s="1022">
        <v>6.6</v>
      </c>
      <c r="AY95" s="915"/>
      <c r="AZ95" s="1019"/>
      <c r="BB95" s="946" t="s">
        <v>221</v>
      </c>
      <c r="BC95" s="1022">
        <v>6.6</v>
      </c>
      <c r="BD95" s="915"/>
      <c r="BE95" s="1019"/>
      <c r="BH95" s="946" t="s">
        <v>221</v>
      </c>
      <c r="BI95" s="1022">
        <v>6.6</v>
      </c>
      <c r="BJ95" s="915"/>
      <c r="BK95" s="1019"/>
    </row>
    <row r="96" spans="1:63">
      <c r="A96" s="907" t="s">
        <v>991</v>
      </c>
      <c r="B96" s="930" t="s">
        <v>1123</v>
      </c>
      <c r="C96" s="1020">
        <f>IF(NOT(Dashboard!I13=""),Dashboard!I13,IF(AND(D96="",E96=""),"",IF(E96="",D96,E96)))</f>
        <v>9.5</v>
      </c>
      <c r="D96" s="1021">
        <f t="shared" si="11"/>
        <v>9.5</v>
      </c>
      <c r="E96" s="921"/>
      <c r="F96" s="1023"/>
      <c r="R96" s="914" t="s">
        <v>39</v>
      </c>
      <c r="S96" s="1022">
        <v>9.5</v>
      </c>
      <c r="T96" s="915"/>
      <c r="U96" s="1024"/>
      <c r="X96" s="914" t="s">
        <v>39</v>
      </c>
      <c r="Y96" s="1022">
        <v>9.5</v>
      </c>
      <c r="Z96" s="915"/>
      <c r="AA96" s="1024"/>
      <c r="AC96" s="914" t="s">
        <v>39</v>
      </c>
      <c r="AD96" s="1022">
        <v>9.5</v>
      </c>
      <c r="AE96" s="915"/>
      <c r="AF96" s="1024"/>
      <c r="AH96" s="914" t="s">
        <v>39</v>
      </c>
      <c r="AI96" s="1022">
        <v>9.5</v>
      </c>
      <c r="AJ96" s="915"/>
      <c r="AK96" s="1024"/>
      <c r="AM96" s="914" t="s">
        <v>39</v>
      </c>
      <c r="AN96" s="1022">
        <v>9.5</v>
      </c>
      <c r="AO96" s="915"/>
      <c r="AP96" s="1024"/>
      <c r="AR96" s="914" t="s">
        <v>39</v>
      </c>
      <c r="AS96" s="937">
        <f>INDEX(R96:FB96, MATCH($AU$7, $R$6:$FB$6, 0))*$AU$8 + INDEX(R96:FB96, MATCH($AU$9, $R$6:$FB$6, 0))*(1-$AU$8)</f>
        <v>9.5</v>
      </c>
      <c r="AT96" s="915"/>
      <c r="AU96" s="1024"/>
      <c r="AW96" s="914" t="s">
        <v>39</v>
      </c>
      <c r="AX96" s="1022">
        <v>9.5</v>
      </c>
      <c r="AY96" s="915"/>
      <c r="AZ96" s="1024"/>
      <c r="BB96" s="914" t="s">
        <v>39</v>
      </c>
      <c r="BC96" s="1022">
        <v>9.5</v>
      </c>
      <c r="BD96" s="915"/>
      <c r="BE96" s="1024"/>
      <c r="BH96" s="914" t="s">
        <v>39</v>
      </c>
      <c r="BI96" s="1022">
        <v>9.5</v>
      </c>
      <c r="BJ96" s="915"/>
      <c r="BK96" s="1024"/>
    </row>
    <row r="97" spans="1:63">
      <c r="A97" s="907" t="s">
        <v>991</v>
      </c>
      <c r="B97" s="930" t="s">
        <v>1125</v>
      </c>
      <c r="C97" s="1020">
        <f>IF(NOT(Dashboard!I14=""),Dashboard!I14,IF(AND(D97="",E97=""),"",IF(E97="",D97,E97)))</f>
        <v>3.1</v>
      </c>
      <c r="D97" s="1021">
        <f t="shared" si="11"/>
        <v>3.1</v>
      </c>
      <c r="E97" s="921"/>
      <c r="F97" s="1025"/>
      <c r="R97" s="914" t="s">
        <v>41</v>
      </c>
      <c r="S97" s="1022">
        <v>3.1</v>
      </c>
      <c r="T97" s="915"/>
      <c r="U97" s="1026"/>
      <c r="X97" s="914" t="s">
        <v>1130</v>
      </c>
      <c r="Y97" s="1022">
        <v>3.1</v>
      </c>
      <c r="Z97" s="915"/>
      <c r="AA97" s="1026"/>
      <c r="AC97" s="914" t="s">
        <v>41</v>
      </c>
      <c r="AD97" s="1022">
        <v>3.1</v>
      </c>
      <c r="AE97" s="915"/>
      <c r="AF97" s="1026"/>
      <c r="AH97" s="914" t="s">
        <v>41</v>
      </c>
      <c r="AI97" s="1022">
        <v>3.1</v>
      </c>
      <c r="AJ97" s="915"/>
      <c r="AK97" s="1026"/>
      <c r="AM97" s="914" t="s">
        <v>41</v>
      </c>
      <c r="AN97" s="1022">
        <v>3.1</v>
      </c>
      <c r="AO97" s="915"/>
      <c r="AP97" s="1026"/>
      <c r="AR97" s="914" t="s">
        <v>41</v>
      </c>
      <c r="AS97" s="937">
        <f>INDEX(R97:FB97, MATCH($AU$7, $R$6:$FB$6, 0))*$AU$8 + INDEX(R97:FB97, MATCH($AU$9, $R$6:$FB$6, 0))*(1-$AU$8)</f>
        <v>3.1</v>
      </c>
      <c r="AT97" s="915"/>
      <c r="AU97" s="1026"/>
      <c r="AW97" s="914" t="s">
        <v>41</v>
      </c>
      <c r="AX97" s="1022">
        <v>3.1</v>
      </c>
      <c r="AY97" s="915"/>
      <c r="AZ97" s="1026"/>
      <c r="BB97" s="914" t="s">
        <v>41</v>
      </c>
      <c r="BC97" s="1022">
        <v>3.1</v>
      </c>
      <c r="BD97" s="915"/>
      <c r="BE97" s="1026"/>
      <c r="BH97" s="914" t="s">
        <v>41</v>
      </c>
      <c r="BI97" s="1022">
        <v>3.1</v>
      </c>
      <c r="BJ97" s="915"/>
      <c r="BK97" s="1026"/>
    </row>
    <row r="98" spans="1:63">
      <c r="A98" s="907"/>
      <c r="B98" s="1008" t="s">
        <v>42</v>
      </c>
      <c r="C98" s="1020"/>
      <c r="D98" s="1021" t="str">
        <f t="shared" si="11"/>
        <v/>
      </c>
      <c r="E98" s="921"/>
      <c r="F98" s="1027"/>
      <c r="R98" s="914" t="s">
        <v>42</v>
      </c>
      <c r="S98" s="1022"/>
      <c r="T98" s="915"/>
      <c r="U98" s="1028"/>
      <c r="X98" s="1029" t="s">
        <v>42</v>
      </c>
      <c r="Y98" s="1022"/>
      <c r="Z98" s="915"/>
      <c r="AA98" s="1028"/>
      <c r="AC98" s="914" t="s">
        <v>42</v>
      </c>
      <c r="AD98" s="1022"/>
      <c r="AE98" s="915"/>
      <c r="AF98" s="1028"/>
      <c r="AH98" s="914" t="s">
        <v>42</v>
      </c>
      <c r="AI98" s="1022"/>
      <c r="AJ98" s="915"/>
      <c r="AK98" s="1028"/>
      <c r="AM98" s="914" t="s">
        <v>42</v>
      </c>
      <c r="AN98" s="1022"/>
      <c r="AO98" s="915"/>
      <c r="AP98" s="1028"/>
      <c r="AR98" s="914" t="s">
        <v>42</v>
      </c>
      <c r="AS98" s="1022"/>
      <c r="AT98" s="915"/>
      <c r="AU98" s="1028"/>
      <c r="AW98" s="914" t="s">
        <v>42</v>
      </c>
      <c r="AX98" s="1022"/>
      <c r="AY98" s="915"/>
      <c r="AZ98" s="1028"/>
      <c r="BB98" s="914" t="s">
        <v>42</v>
      </c>
      <c r="BC98" s="1022"/>
      <c r="BD98" s="915"/>
      <c r="BE98" s="1028"/>
      <c r="BH98" s="914" t="s">
        <v>42</v>
      </c>
      <c r="BI98" s="1022"/>
      <c r="BJ98" s="915"/>
      <c r="BK98" s="1028"/>
    </row>
    <row r="99" spans="1:63">
      <c r="A99" s="907" t="s">
        <v>991</v>
      </c>
      <c r="B99" s="943" t="s">
        <v>1126</v>
      </c>
      <c r="C99" s="1020">
        <f>IF(NOT(Dashboard!I17=""),Dashboard!I17,IF(AND(D99="",E99=""),"",IF(E99="",D99,E99)))</f>
        <v>0</v>
      </c>
      <c r="D99" s="1021">
        <f>IF(INDEX(99:99,$E$2)="","",IF($C$28="No",INDEX(99:99,$E$2),25))</f>
        <v>12.5</v>
      </c>
      <c r="E99" s="921"/>
      <c r="F99" s="1013"/>
      <c r="R99" s="914" t="s">
        <v>33</v>
      </c>
      <c r="S99" s="1022">
        <v>12.5</v>
      </c>
      <c r="T99" s="915"/>
      <c r="U99" s="989"/>
      <c r="X99" s="914" t="s">
        <v>169</v>
      </c>
      <c r="Y99" s="1022">
        <v>12.5</v>
      </c>
      <c r="Z99" s="915"/>
      <c r="AA99" s="989"/>
      <c r="AC99" s="914" t="s">
        <v>33</v>
      </c>
      <c r="AD99" s="1022">
        <v>12.5</v>
      </c>
      <c r="AE99" s="915"/>
      <c r="AF99" s="989"/>
      <c r="AH99" s="914" t="s">
        <v>33</v>
      </c>
      <c r="AI99" s="1022">
        <v>12.5</v>
      </c>
      <c r="AJ99" s="915"/>
      <c r="AK99" s="989"/>
      <c r="AM99" s="914" t="s">
        <v>33</v>
      </c>
      <c r="AN99" s="1022">
        <v>12.5</v>
      </c>
      <c r="AO99" s="915"/>
      <c r="AP99" s="989"/>
      <c r="AR99" s="914" t="s">
        <v>33</v>
      </c>
      <c r="AS99" s="1022">
        <v>12.5</v>
      </c>
      <c r="AT99" s="915"/>
      <c r="AU99" s="989"/>
      <c r="AW99" s="914" t="s">
        <v>33</v>
      </c>
      <c r="AX99" s="1022">
        <v>12.5</v>
      </c>
      <c r="AY99" s="915"/>
      <c r="AZ99" s="989"/>
      <c r="BB99" s="914" t="s">
        <v>33</v>
      </c>
      <c r="BC99" s="1022">
        <v>12.5</v>
      </c>
      <c r="BD99" s="915"/>
      <c r="BE99" s="989"/>
      <c r="BH99" s="914" t="s">
        <v>33</v>
      </c>
      <c r="BI99" s="1022">
        <v>12</v>
      </c>
      <c r="BJ99" s="915"/>
      <c r="BK99" s="989"/>
    </row>
    <row r="100" spans="1:63">
      <c r="A100" s="907" t="s">
        <v>991</v>
      </c>
      <c r="B100" s="943" t="s">
        <v>1127</v>
      </c>
      <c r="C100" s="1020">
        <f>IF(NOT(Dashboard!I18=""),Dashboard!I18,IF(AND(D100="",E100=""),"",IF(E100="",D100,E100)))</f>
        <v>6.6</v>
      </c>
      <c r="D100" s="1021">
        <f t="shared" si="11"/>
        <v>6.6</v>
      </c>
      <c r="E100" s="921"/>
      <c r="F100" s="962"/>
      <c r="R100" s="914" t="s">
        <v>37</v>
      </c>
      <c r="S100" s="1022">
        <v>6.6</v>
      </c>
      <c r="T100" s="915"/>
      <c r="U100" s="916"/>
      <c r="X100" s="914" t="s">
        <v>1131</v>
      </c>
      <c r="Y100" s="1022">
        <v>6.6</v>
      </c>
      <c r="Z100" s="915"/>
      <c r="AA100" s="916"/>
      <c r="AC100" s="914" t="s">
        <v>37</v>
      </c>
      <c r="AD100" s="1022">
        <v>6.6</v>
      </c>
      <c r="AE100" s="915"/>
      <c r="AF100" s="916"/>
      <c r="AH100" s="914" t="s">
        <v>37</v>
      </c>
      <c r="AI100" s="1022">
        <v>6.6</v>
      </c>
      <c r="AJ100" s="915"/>
      <c r="AK100" s="916"/>
      <c r="AM100" s="914" t="s">
        <v>37</v>
      </c>
      <c r="AN100" s="1022">
        <v>6.6</v>
      </c>
      <c r="AO100" s="915"/>
      <c r="AP100" s="916"/>
      <c r="AR100" s="914" t="s">
        <v>37</v>
      </c>
      <c r="AS100" s="1022">
        <v>6.6</v>
      </c>
      <c r="AT100" s="915"/>
      <c r="AU100" s="916"/>
      <c r="AW100" s="914" t="s">
        <v>37</v>
      </c>
      <c r="AX100" s="1022">
        <v>6.6</v>
      </c>
      <c r="AY100" s="915"/>
      <c r="AZ100" s="916"/>
      <c r="BB100" s="914" t="s">
        <v>37</v>
      </c>
      <c r="BC100" s="1022">
        <v>6.6</v>
      </c>
      <c r="BD100" s="915"/>
      <c r="BE100" s="916"/>
      <c r="BH100" s="914" t="s">
        <v>37</v>
      </c>
      <c r="BI100" s="1022">
        <v>6.6</v>
      </c>
      <c r="BJ100" s="915"/>
      <c r="BK100" s="916"/>
    </row>
    <row r="101" spans="1:63">
      <c r="A101" s="907" t="s">
        <v>991</v>
      </c>
      <c r="B101" s="930" t="s">
        <v>1128</v>
      </c>
      <c r="C101" s="1020">
        <f>IF(NOT(Dashboard!I19=""),Dashboard!I19,IF(AND(D101="",E101=""),"",IF(E101="",D101,E101)))</f>
        <v>10</v>
      </c>
      <c r="D101" s="1021">
        <f t="shared" si="11"/>
        <v>10</v>
      </c>
      <c r="E101" s="921"/>
      <c r="F101" s="962"/>
      <c r="R101" s="914" t="s">
        <v>243</v>
      </c>
      <c r="S101" s="1022">
        <v>10</v>
      </c>
      <c r="T101" s="915"/>
      <c r="U101" s="916"/>
      <c r="X101" s="914" t="s">
        <v>243</v>
      </c>
      <c r="Y101" s="1022">
        <v>10</v>
      </c>
      <c r="Z101" s="915"/>
      <c r="AA101" s="916"/>
      <c r="AC101" s="914" t="s">
        <v>243</v>
      </c>
      <c r="AD101" s="1022">
        <v>10</v>
      </c>
      <c r="AE101" s="915"/>
      <c r="AF101" s="916"/>
      <c r="AH101" s="914" t="s">
        <v>243</v>
      </c>
      <c r="AI101" s="1022">
        <v>10</v>
      </c>
      <c r="AJ101" s="915"/>
      <c r="AK101" s="916"/>
      <c r="AM101" s="914" t="s">
        <v>243</v>
      </c>
      <c r="AN101" s="1022">
        <v>10</v>
      </c>
      <c r="AO101" s="915"/>
      <c r="AP101" s="916"/>
      <c r="AR101" s="914" t="s">
        <v>243</v>
      </c>
      <c r="AS101" s="1022">
        <v>10</v>
      </c>
      <c r="AT101" s="915"/>
      <c r="AU101" s="916"/>
      <c r="AW101" s="914" t="s">
        <v>243</v>
      </c>
      <c r="AX101" s="1022">
        <v>10</v>
      </c>
      <c r="AY101" s="915"/>
      <c r="AZ101" s="916"/>
      <c r="BB101" s="914" t="s">
        <v>243</v>
      </c>
      <c r="BC101" s="1022">
        <v>10</v>
      </c>
      <c r="BD101" s="915"/>
      <c r="BE101" s="916"/>
      <c r="BH101" s="914" t="s">
        <v>243</v>
      </c>
      <c r="BI101" s="1022">
        <v>10</v>
      </c>
      <c r="BJ101" s="915"/>
      <c r="BK101" s="916"/>
    </row>
    <row r="102" spans="1:63">
      <c r="A102" s="907" t="s">
        <v>991</v>
      </c>
      <c r="B102" s="930" t="s">
        <v>1129</v>
      </c>
      <c r="C102" s="1020">
        <f>IF(NOT(Dashboard!I20=""),Dashboard!I20,IF(AND(D102="",E102=""),"",IF(E102="",D102,E102)))</f>
        <v>0</v>
      </c>
      <c r="D102" s="1021">
        <f t="shared" si="11"/>
        <v>0</v>
      </c>
      <c r="E102" s="921"/>
      <c r="F102" s="962"/>
      <c r="R102" s="914" t="s">
        <v>232</v>
      </c>
      <c r="S102" s="1022">
        <v>0</v>
      </c>
      <c r="T102" s="915"/>
      <c r="U102" s="916"/>
      <c r="X102" s="914" t="s">
        <v>1132</v>
      </c>
      <c r="Y102" s="1022">
        <v>0</v>
      </c>
      <c r="Z102" s="915"/>
      <c r="AA102" s="916"/>
      <c r="AC102" s="914" t="s">
        <v>232</v>
      </c>
      <c r="AD102" s="1022">
        <v>0</v>
      </c>
      <c r="AE102" s="915"/>
      <c r="AF102" s="916"/>
      <c r="AH102" s="914" t="s">
        <v>232</v>
      </c>
      <c r="AI102" s="1022">
        <v>0</v>
      </c>
      <c r="AJ102" s="915"/>
      <c r="AK102" s="916"/>
      <c r="AM102" s="914" t="s">
        <v>232</v>
      </c>
      <c r="AN102" s="1022">
        <v>0</v>
      </c>
      <c r="AO102" s="915"/>
      <c r="AP102" s="916"/>
      <c r="AR102" s="914" t="s">
        <v>232</v>
      </c>
      <c r="AS102" s="1022">
        <v>0</v>
      </c>
      <c r="AT102" s="915"/>
      <c r="AU102" s="916"/>
      <c r="AW102" s="914" t="s">
        <v>232</v>
      </c>
      <c r="AX102" s="1022">
        <v>0</v>
      </c>
      <c r="AY102" s="915"/>
      <c r="AZ102" s="916"/>
      <c r="BB102" s="914" t="s">
        <v>232</v>
      </c>
      <c r="BC102" s="1022">
        <v>0</v>
      </c>
      <c r="BD102" s="915"/>
      <c r="BE102" s="916"/>
      <c r="BH102" s="914" t="s">
        <v>232</v>
      </c>
      <c r="BI102" s="1022">
        <v>0</v>
      </c>
      <c r="BJ102" s="915"/>
      <c r="BK102" s="916"/>
    </row>
    <row r="103" spans="1:63" ht="16">
      <c r="A103" s="907" t="s">
        <v>991</v>
      </c>
      <c r="B103" s="930" t="s">
        <v>1511</v>
      </c>
      <c r="C103" s="1020">
        <f>IF(NOT(Dashboard!I22=""),Dashboard!I22,IF(AND(D103="",E103=""),"",IF(E103="",D103,E103)))</f>
        <v>0.3</v>
      </c>
      <c r="D103" s="1021">
        <f t="shared" si="11"/>
        <v>0.3</v>
      </c>
      <c r="E103" s="921"/>
      <c r="F103" s="962"/>
      <c r="R103" s="914" t="s">
        <v>1357</v>
      </c>
      <c r="S103" s="1022">
        <v>0.3</v>
      </c>
      <c r="T103" s="915"/>
      <c r="U103" s="916"/>
      <c r="X103" s="914" t="s">
        <v>1357</v>
      </c>
      <c r="Y103" s="1022">
        <v>0.3</v>
      </c>
      <c r="Z103" s="915"/>
      <c r="AA103" s="916"/>
      <c r="AC103" s="914" t="s">
        <v>1357</v>
      </c>
      <c r="AD103" s="1022">
        <v>0.3</v>
      </c>
      <c r="AE103" s="915"/>
      <c r="AF103" s="916"/>
      <c r="AH103" s="914" t="s">
        <v>1357</v>
      </c>
      <c r="AI103" s="1022">
        <v>0.3</v>
      </c>
      <c r="AJ103" s="915"/>
      <c r="AK103" s="916"/>
      <c r="AM103" s="914" t="s">
        <v>1357</v>
      </c>
      <c r="AN103" s="1022">
        <v>0.3</v>
      </c>
      <c r="AO103" s="915"/>
      <c r="AP103" s="916"/>
      <c r="AR103" s="914" t="s">
        <v>1357</v>
      </c>
      <c r="AS103" s="1022">
        <v>0.3</v>
      </c>
      <c r="AT103" s="915"/>
      <c r="AU103" s="916"/>
      <c r="AW103" s="914" t="s">
        <v>1357</v>
      </c>
      <c r="AX103" s="1022">
        <v>0.3</v>
      </c>
      <c r="AY103" s="915"/>
      <c r="AZ103" s="916"/>
      <c r="BB103" s="914" t="s">
        <v>1357</v>
      </c>
      <c r="BC103" s="1022">
        <v>0.3</v>
      </c>
      <c r="BD103" s="915"/>
      <c r="BE103" s="916"/>
      <c r="BH103" s="914" t="s">
        <v>1357</v>
      </c>
      <c r="BI103" s="1022">
        <v>0.3</v>
      </c>
      <c r="BJ103" s="915"/>
      <c r="BK103" s="916"/>
    </row>
    <row r="104" spans="1:63" ht="16">
      <c r="A104" s="907" t="s">
        <v>991</v>
      </c>
      <c r="B104" s="930" t="s">
        <v>1512</v>
      </c>
      <c r="C104" s="1020">
        <f>IF(NOT(Dashboard!I23=""),Dashboard!I23,IF(AND(D104="",E104=""),"",IF(E104="",D104,E104)))</f>
        <v>1.2</v>
      </c>
      <c r="D104" s="1021">
        <f t="shared" si="11"/>
        <v>1.2</v>
      </c>
      <c r="E104" s="921"/>
      <c r="F104" s="962"/>
      <c r="R104" s="914" t="s">
        <v>1358</v>
      </c>
      <c r="S104" s="1022">
        <v>1.2</v>
      </c>
      <c r="T104" s="915"/>
      <c r="U104" s="916"/>
      <c r="X104" s="914" t="s">
        <v>1358</v>
      </c>
      <c r="Y104" s="1022">
        <v>1.2</v>
      </c>
      <c r="Z104" s="915"/>
      <c r="AA104" s="916"/>
      <c r="AC104" s="914" t="s">
        <v>1358</v>
      </c>
      <c r="AD104" s="1022">
        <v>1.2</v>
      </c>
      <c r="AE104" s="915"/>
      <c r="AF104" s="916"/>
      <c r="AH104" s="914" t="s">
        <v>1358</v>
      </c>
      <c r="AI104" s="1022">
        <v>1.2</v>
      </c>
      <c r="AJ104" s="915"/>
      <c r="AK104" s="916"/>
      <c r="AM104" s="914" t="s">
        <v>1358</v>
      </c>
      <c r="AN104" s="1022">
        <v>1.2</v>
      </c>
      <c r="AO104" s="915"/>
      <c r="AP104" s="916"/>
      <c r="AR104" s="914" t="s">
        <v>1358</v>
      </c>
      <c r="AS104" s="1022">
        <v>1.2</v>
      </c>
      <c r="AT104" s="915"/>
      <c r="AU104" s="916"/>
      <c r="AW104" s="914" t="s">
        <v>1358</v>
      </c>
      <c r="AX104" s="1022">
        <v>1.2</v>
      </c>
      <c r="AY104" s="915"/>
      <c r="AZ104" s="916"/>
      <c r="BB104" s="914" t="s">
        <v>1358</v>
      </c>
      <c r="BC104" s="1022">
        <v>1.2</v>
      </c>
      <c r="BD104" s="915"/>
      <c r="BE104" s="916"/>
      <c r="BH104" s="914" t="s">
        <v>1358</v>
      </c>
      <c r="BI104" s="1022">
        <v>0.3</v>
      </c>
      <c r="BJ104" s="915"/>
      <c r="BK104" s="916"/>
    </row>
    <row r="105" spans="1:63" ht="16">
      <c r="A105" s="907" t="s">
        <v>991</v>
      </c>
      <c r="B105" s="930" t="s">
        <v>1513</v>
      </c>
      <c r="C105" s="1020">
        <f>IF(NOT(Dashboard!I24=""),Dashboard!I24,IF(AND(D105="",E105=""),"",IF(E105="",D105,E105)))</f>
        <v>10</v>
      </c>
      <c r="D105" s="1021">
        <f t="shared" si="11"/>
        <v>1.1000000000000001</v>
      </c>
      <c r="E105" s="921"/>
      <c r="F105" s="962"/>
      <c r="R105" s="914" t="s">
        <v>1359</v>
      </c>
      <c r="S105" s="1022">
        <v>1.1000000000000001</v>
      </c>
      <c r="T105" s="915"/>
      <c r="U105" s="916"/>
      <c r="X105" s="914" t="s">
        <v>1359</v>
      </c>
      <c r="Y105" s="1022">
        <v>1.1000000000000001</v>
      </c>
      <c r="Z105" s="915"/>
      <c r="AA105" s="916"/>
      <c r="AC105" s="914" t="s">
        <v>1359</v>
      </c>
      <c r="AD105" s="1022">
        <v>1.1000000000000001</v>
      </c>
      <c r="AE105" s="915"/>
      <c r="AF105" s="916"/>
      <c r="AH105" s="914" t="s">
        <v>1359</v>
      </c>
      <c r="AI105" s="1022">
        <v>1.1000000000000001</v>
      </c>
      <c r="AJ105" s="915"/>
      <c r="AK105" s="916"/>
      <c r="AM105" s="914" t="s">
        <v>1359</v>
      </c>
      <c r="AN105" s="1022">
        <v>1.1000000000000001</v>
      </c>
      <c r="AO105" s="915"/>
      <c r="AP105" s="916"/>
      <c r="AR105" s="914" t="s">
        <v>1359</v>
      </c>
      <c r="AS105" s="1022">
        <v>1.1000000000000001</v>
      </c>
      <c r="AT105" s="915"/>
      <c r="AU105" s="916"/>
      <c r="AW105" s="914" t="s">
        <v>1359</v>
      </c>
      <c r="AX105" s="1022">
        <v>1.1000000000000001</v>
      </c>
      <c r="AY105" s="915"/>
      <c r="AZ105" s="916"/>
      <c r="BB105" s="914" t="s">
        <v>1359</v>
      </c>
      <c r="BC105" s="1022">
        <v>1.1000000000000001</v>
      </c>
      <c r="BD105" s="915"/>
      <c r="BE105" s="916"/>
      <c r="BH105" s="914" t="s">
        <v>1359</v>
      </c>
      <c r="BI105" s="1022">
        <v>1.1000000000000001</v>
      </c>
      <c r="BJ105" s="915"/>
      <c r="BK105" s="916"/>
    </row>
    <row r="106" spans="1:63">
      <c r="A106" s="907" t="s">
        <v>991</v>
      </c>
      <c r="B106" s="930" t="s">
        <v>46</v>
      </c>
      <c r="C106" s="1020">
        <f>IF(NOT(Dashboard!I25=""),Dashboard!I25,IF(AND(D106="",E106=""),"",IF(E106="",D106,E106)))</f>
        <v>15</v>
      </c>
      <c r="D106" s="1021">
        <f t="shared" si="11"/>
        <v>15</v>
      </c>
      <c r="E106" s="921"/>
      <c r="F106" s="962"/>
      <c r="R106" s="914" t="s">
        <v>46</v>
      </c>
      <c r="S106" s="1022">
        <v>15</v>
      </c>
      <c r="T106" s="915"/>
      <c r="U106" s="916"/>
      <c r="X106" s="914" t="s">
        <v>46</v>
      </c>
      <c r="Y106" s="1022">
        <v>15</v>
      </c>
      <c r="Z106" s="915"/>
      <c r="AA106" s="916"/>
      <c r="AC106" s="914" t="s">
        <v>46</v>
      </c>
      <c r="AD106" s="1022">
        <v>15</v>
      </c>
      <c r="AE106" s="915"/>
      <c r="AF106" s="916"/>
      <c r="AH106" s="914" t="s">
        <v>46</v>
      </c>
      <c r="AI106" s="1022">
        <v>15</v>
      </c>
      <c r="AJ106" s="915"/>
      <c r="AK106" s="916"/>
      <c r="AM106" s="914" t="s">
        <v>46</v>
      </c>
      <c r="AN106" s="1022">
        <v>15</v>
      </c>
      <c r="AO106" s="915"/>
      <c r="AP106" s="916"/>
      <c r="AR106" s="914" t="s">
        <v>46</v>
      </c>
      <c r="AS106" s="1022">
        <v>15</v>
      </c>
      <c r="AT106" s="915"/>
      <c r="AU106" s="916"/>
      <c r="AW106" s="914" t="s">
        <v>46</v>
      </c>
      <c r="AX106" s="1022">
        <v>15</v>
      </c>
      <c r="AY106" s="915"/>
      <c r="AZ106" s="916"/>
      <c r="BB106" s="914" t="s">
        <v>46</v>
      </c>
      <c r="BC106" s="1022">
        <v>15</v>
      </c>
      <c r="BD106" s="915"/>
      <c r="BE106" s="916"/>
      <c r="BH106" s="914" t="s">
        <v>46</v>
      </c>
      <c r="BI106" s="1022">
        <v>15</v>
      </c>
      <c r="BJ106" s="915"/>
      <c r="BK106" s="916"/>
    </row>
    <row r="107" spans="1:63">
      <c r="A107" s="907"/>
      <c r="B107" s="930"/>
      <c r="C107" s="1020" t="str">
        <f>IF(NOT(Dashboard!I26=""),Dashboard!I26,IF(AND(D107="",E107=""),"",IF(E107="",D107,E107)))</f>
        <v/>
      </c>
      <c r="D107" s="1021" t="str">
        <f t="shared" si="11"/>
        <v/>
      </c>
      <c r="E107" s="982"/>
      <c r="F107" s="962"/>
      <c r="R107" s="914"/>
      <c r="S107" s="915"/>
      <c r="T107" s="915"/>
      <c r="U107" s="916"/>
      <c r="X107" s="914"/>
      <c r="Y107" s="915"/>
      <c r="Z107" s="915"/>
      <c r="AA107" s="916"/>
      <c r="AC107" s="914"/>
      <c r="AD107" s="915"/>
      <c r="AE107" s="915"/>
      <c r="AF107" s="916"/>
      <c r="AH107" s="914"/>
      <c r="AI107" s="915"/>
      <c r="AJ107" s="915"/>
      <c r="AK107" s="916"/>
      <c r="AM107" s="914"/>
      <c r="AN107" s="915"/>
      <c r="AO107" s="915"/>
      <c r="AP107" s="916"/>
      <c r="AR107" s="914"/>
      <c r="AS107" s="915"/>
      <c r="AT107" s="915"/>
      <c r="AU107" s="916"/>
      <c r="AW107" s="914"/>
      <c r="AX107" s="915"/>
      <c r="AY107" s="915"/>
      <c r="AZ107" s="916"/>
      <c r="BB107" s="914"/>
      <c r="BC107" s="915"/>
      <c r="BD107" s="915"/>
      <c r="BE107" s="916"/>
      <c r="BH107" s="914"/>
      <c r="BI107" s="915"/>
      <c r="BJ107" s="915"/>
      <c r="BK107" s="916"/>
    </row>
    <row r="108" spans="1:63">
      <c r="A108" s="907"/>
      <c r="B108" s="1030"/>
      <c r="C108" s="849"/>
      <c r="D108" s="849"/>
      <c r="E108" s="849"/>
      <c r="F108" s="1031"/>
      <c r="R108" s="914"/>
      <c r="S108" s="915"/>
      <c r="T108" s="915"/>
      <c r="U108" s="916"/>
      <c r="X108" s="914"/>
      <c r="Y108" s="915"/>
      <c r="Z108" s="915"/>
      <c r="AA108" s="916"/>
      <c r="AC108" s="914"/>
      <c r="AD108" s="915"/>
      <c r="AE108" s="915"/>
      <c r="AF108" s="916"/>
      <c r="AH108" s="914"/>
      <c r="AI108" s="915"/>
      <c r="AJ108" s="915"/>
      <c r="AK108" s="916"/>
      <c r="AM108" s="914"/>
      <c r="AN108" s="915"/>
      <c r="AO108" s="915"/>
      <c r="AP108" s="916"/>
      <c r="AR108" s="914"/>
      <c r="AS108" s="915"/>
      <c r="AT108" s="915"/>
      <c r="AU108" s="916"/>
      <c r="AW108" s="914"/>
      <c r="AX108" s="915"/>
      <c r="AY108" s="915"/>
      <c r="AZ108" s="916"/>
      <c r="BB108" s="914"/>
      <c r="BC108" s="915"/>
      <c r="BD108" s="915"/>
      <c r="BE108" s="916"/>
      <c r="BH108" s="914"/>
      <c r="BI108" s="915"/>
      <c r="BJ108" s="915"/>
      <c r="BK108" s="916"/>
    </row>
    <row r="109" spans="1:63">
      <c r="A109" s="907"/>
      <c r="B109" s="930"/>
      <c r="C109" s="982"/>
      <c r="D109" s="982"/>
      <c r="E109" s="982"/>
      <c r="F109" s="962"/>
      <c r="R109" s="914"/>
      <c r="S109" s="915"/>
      <c r="T109" s="915"/>
      <c r="U109" s="916"/>
      <c r="X109" s="914"/>
      <c r="Y109" s="915"/>
      <c r="Z109" s="915"/>
      <c r="AA109" s="916"/>
      <c r="AC109" s="914"/>
      <c r="AD109" s="915"/>
      <c r="AE109" s="915"/>
      <c r="AF109" s="916"/>
      <c r="AH109" s="914"/>
      <c r="AI109" s="915"/>
      <c r="AJ109" s="915"/>
      <c r="AK109" s="916"/>
      <c r="AM109" s="914"/>
      <c r="AN109" s="915"/>
      <c r="AO109" s="915"/>
      <c r="AP109" s="916"/>
      <c r="AR109" s="914"/>
      <c r="AS109" s="915"/>
      <c r="AT109" s="915"/>
      <c r="AU109" s="916"/>
      <c r="AW109" s="914"/>
      <c r="AX109" s="915"/>
      <c r="AY109" s="915"/>
      <c r="AZ109" s="916"/>
      <c r="BB109" s="914"/>
      <c r="BC109" s="915"/>
      <c r="BD109" s="915"/>
      <c r="BE109" s="916"/>
      <c r="BH109" s="914"/>
      <c r="BI109" s="915"/>
      <c r="BJ109" s="915"/>
      <c r="BK109" s="916"/>
    </row>
    <row r="110" spans="1:63">
      <c r="A110" s="907"/>
      <c r="B110" s="930"/>
      <c r="C110" s="982"/>
      <c r="D110" s="982"/>
      <c r="E110" s="982"/>
      <c r="F110" s="962"/>
      <c r="R110" s="914"/>
      <c r="S110" s="915"/>
      <c r="T110" s="915"/>
      <c r="U110" s="916"/>
      <c r="X110" s="914"/>
      <c r="Y110" s="915"/>
      <c r="Z110" s="915"/>
      <c r="AA110" s="916"/>
      <c r="AC110" s="914"/>
      <c r="AD110" s="915"/>
      <c r="AE110" s="915"/>
      <c r="AF110" s="916"/>
      <c r="AH110" s="914"/>
      <c r="AI110" s="915"/>
      <c r="AJ110" s="915"/>
      <c r="AK110" s="916"/>
      <c r="AM110" s="914"/>
      <c r="AN110" s="915"/>
      <c r="AO110" s="915"/>
      <c r="AP110" s="916"/>
      <c r="AR110" s="914"/>
      <c r="AS110" s="915"/>
      <c r="AT110" s="915"/>
      <c r="AU110" s="916"/>
      <c r="AW110" s="914"/>
      <c r="AX110" s="915"/>
      <c r="AY110" s="915"/>
      <c r="AZ110" s="916"/>
      <c r="BB110" s="914"/>
      <c r="BC110" s="915"/>
      <c r="BD110" s="915"/>
      <c r="BE110" s="916"/>
      <c r="BH110" s="914"/>
      <c r="BI110" s="915"/>
      <c r="BJ110" s="915"/>
      <c r="BK110" s="916"/>
    </row>
    <row r="111" spans="1:63">
      <c r="A111" s="907"/>
      <c r="B111" s="930"/>
      <c r="C111" s="982"/>
      <c r="D111" s="982"/>
      <c r="E111" s="982"/>
      <c r="F111" s="962"/>
      <c r="R111" s="914"/>
      <c r="S111" s="915"/>
      <c r="T111" s="915"/>
      <c r="U111" s="916"/>
      <c r="X111" s="914"/>
      <c r="Y111" s="915"/>
      <c r="Z111" s="915"/>
      <c r="AA111" s="916"/>
      <c r="AC111" s="914"/>
      <c r="AD111" s="915"/>
      <c r="AE111" s="915"/>
      <c r="AF111" s="916"/>
      <c r="AH111" s="914"/>
      <c r="AI111" s="915"/>
      <c r="AJ111" s="915"/>
      <c r="AK111" s="916"/>
      <c r="AM111" s="914"/>
      <c r="AN111" s="915"/>
      <c r="AO111" s="915"/>
      <c r="AP111" s="916"/>
      <c r="AR111" s="914"/>
      <c r="AS111" s="915"/>
      <c r="AT111" s="915"/>
      <c r="AU111" s="916"/>
      <c r="AW111" s="914"/>
      <c r="AX111" s="915"/>
      <c r="AY111" s="915"/>
      <c r="AZ111" s="916"/>
      <c r="BB111" s="914"/>
      <c r="BC111" s="915"/>
      <c r="BD111" s="915"/>
      <c r="BE111" s="916"/>
      <c r="BH111" s="914"/>
      <c r="BI111" s="915"/>
      <c r="BJ111" s="915"/>
      <c r="BK111" s="916"/>
    </row>
    <row r="112" spans="1:63">
      <c r="A112" s="907"/>
      <c r="B112" s="930"/>
      <c r="C112" s="982"/>
      <c r="D112" s="982"/>
      <c r="E112" s="982"/>
      <c r="F112" s="962"/>
      <c r="R112" s="914"/>
      <c r="S112" s="915"/>
      <c r="T112" s="915"/>
      <c r="U112" s="916"/>
      <c r="X112" s="914"/>
      <c r="Y112" s="915"/>
      <c r="Z112" s="915"/>
      <c r="AA112" s="916"/>
      <c r="AC112" s="914"/>
      <c r="AD112" s="915"/>
      <c r="AE112" s="915"/>
      <c r="AF112" s="916"/>
      <c r="AH112" s="914"/>
      <c r="AI112" s="915"/>
      <c r="AJ112" s="915"/>
      <c r="AK112" s="916"/>
      <c r="AM112" s="914"/>
      <c r="AN112" s="915"/>
      <c r="AO112" s="915"/>
      <c r="AP112" s="916"/>
      <c r="AR112" s="914"/>
      <c r="AS112" s="915"/>
      <c r="AT112" s="915"/>
      <c r="AU112" s="916"/>
      <c r="AW112" s="914"/>
      <c r="AX112" s="915"/>
      <c r="AY112" s="915"/>
      <c r="AZ112" s="916"/>
      <c r="BB112" s="914"/>
      <c r="BC112" s="915"/>
      <c r="BD112" s="915"/>
      <c r="BE112" s="916"/>
      <c r="BH112" s="914"/>
      <c r="BI112" s="915"/>
      <c r="BJ112" s="915"/>
      <c r="BK112" s="916"/>
    </row>
    <row r="113" spans="1:63">
      <c r="A113" s="907"/>
      <c r="B113" s="930"/>
      <c r="C113" s="982"/>
      <c r="D113" s="982"/>
      <c r="E113" s="982"/>
      <c r="F113" s="962"/>
      <c r="R113" s="914"/>
      <c r="S113" s="915"/>
      <c r="T113" s="915"/>
      <c r="U113" s="916"/>
      <c r="X113" s="914"/>
      <c r="Y113" s="915"/>
      <c r="Z113" s="915"/>
      <c r="AA113" s="916"/>
      <c r="AC113" s="914"/>
      <c r="AD113" s="915"/>
      <c r="AE113" s="915"/>
      <c r="AF113" s="916"/>
      <c r="AH113" s="914"/>
      <c r="AI113" s="915"/>
      <c r="AJ113" s="915"/>
      <c r="AK113" s="916"/>
      <c r="AM113" s="914"/>
      <c r="AN113" s="915"/>
      <c r="AO113" s="915"/>
      <c r="AP113" s="916"/>
      <c r="AR113" s="914"/>
      <c r="AS113" s="915"/>
      <c r="AT113" s="915"/>
      <c r="AU113" s="916"/>
      <c r="AW113" s="914"/>
      <c r="AX113" s="915"/>
      <c r="AY113" s="915"/>
      <c r="AZ113" s="916"/>
      <c r="BB113" s="914"/>
      <c r="BC113" s="915"/>
      <c r="BD113" s="915"/>
      <c r="BE113" s="916"/>
      <c r="BH113" s="914"/>
      <c r="BI113" s="915"/>
      <c r="BJ113" s="915"/>
      <c r="BK113" s="916"/>
    </row>
    <row r="114" spans="1:63">
      <c r="A114" s="907"/>
      <c r="B114" s="930"/>
      <c r="C114" s="982"/>
      <c r="D114" s="982"/>
      <c r="E114" s="982"/>
      <c r="F114" s="962"/>
      <c r="R114" s="914"/>
      <c r="S114" s="915"/>
      <c r="T114" s="915"/>
      <c r="U114" s="916"/>
      <c r="X114" s="914"/>
      <c r="Y114" s="915"/>
      <c r="Z114" s="915"/>
      <c r="AA114" s="916"/>
      <c r="AC114" s="914"/>
      <c r="AD114" s="915"/>
      <c r="AE114" s="915"/>
      <c r="AF114" s="916"/>
      <c r="AH114" s="914"/>
      <c r="AI114" s="915"/>
      <c r="AJ114" s="915"/>
      <c r="AK114" s="916"/>
      <c r="AM114" s="914"/>
      <c r="AN114" s="915"/>
      <c r="AO114" s="915"/>
      <c r="AP114" s="916"/>
      <c r="AR114" s="914"/>
      <c r="AS114" s="915"/>
      <c r="AT114" s="915"/>
      <c r="AU114" s="916"/>
      <c r="AW114" s="914"/>
      <c r="AX114" s="915"/>
      <c r="AY114" s="915"/>
      <c r="AZ114" s="916"/>
      <c r="BB114" s="914"/>
      <c r="BC114" s="915"/>
      <c r="BD114" s="915"/>
      <c r="BE114" s="916"/>
      <c r="BH114" s="914"/>
      <c r="BI114" s="915"/>
      <c r="BJ114" s="915"/>
      <c r="BK114" s="916"/>
    </row>
    <row r="115" spans="1:63">
      <c r="A115" s="907"/>
      <c r="B115" s="930"/>
      <c r="C115" s="982"/>
      <c r="D115" s="982"/>
      <c r="E115" s="982"/>
      <c r="F115" s="962"/>
      <c r="R115" s="914"/>
      <c r="S115" s="915"/>
      <c r="T115" s="915"/>
      <c r="U115" s="916"/>
      <c r="X115" s="914"/>
      <c r="Y115" s="915"/>
      <c r="Z115" s="915"/>
      <c r="AA115" s="916"/>
      <c r="AC115" s="914"/>
      <c r="AD115" s="915"/>
      <c r="AE115" s="915"/>
      <c r="AF115" s="916"/>
      <c r="AH115" s="914"/>
      <c r="AI115" s="915"/>
      <c r="AJ115" s="915"/>
      <c r="AK115" s="916"/>
      <c r="AM115" s="914"/>
      <c r="AN115" s="915"/>
      <c r="AO115" s="915"/>
      <c r="AP115" s="916"/>
      <c r="AR115" s="914"/>
      <c r="AS115" s="915"/>
      <c r="AT115" s="915"/>
      <c r="AU115" s="916"/>
      <c r="AW115" s="914"/>
      <c r="AX115" s="915"/>
      <c r="AY115" s="915"/>
      <c r="AZ115" s="916"/>
      <c r="BB115" s="914"/>
      <c r="BC115" s="915"/>
      <c r="BD115" s="915"/>
      <c r="BE115" s="916"/>
      <c r="BH115" s="914"/>
      <c r="BI115" s="915"/>
      <c r="BJ115" s="915"/>
      <c r="BK115" s="916"/>
    </row>
    <row r="116" spans="1:63">
      <c r="A116" s="907"/>
      <c r="B116" s="930"/>
      <c r="C116" s="982"/>
      <c r="D116" s="982"/>
      <c r="E116" s="982"/>
      <c r="F116" s="962"/>
      <c r="R116" s="914"/>
      <c r="S116" s="915"/>
      <c r="T116" s="915"/>
      <c r="U116" s="916"/>
      <c r="X116" s="914"/>
      <c r="Y116" s="915"/>
      <c r="Z116" s="915"/>
      <c r="AA116" s="916"/>
      <c r="AC116" s="914"/>
      <c r="AD116" s="915"/>
      <c r="AE116" s="915"/>
      <c r="AF116" s="916"/>
      <c r="AH116" s="914"/>
      <c r="AI116" s="915"/>
      <c r="AJ116" s="915"/>
      <c r="AK116" s="916"/>
      <c r="AM116" s="914"/>
      <c r="AN116" s="915"/>
      <c r="AO116" s="915"/>
      <c r="AP116" s="916"/>
      <c r="AR116" s="914"/>
      <c r="AS116" s="915"/>
      <c r="AT116" s="915"/>
      <c r="AU116" s="916"/>
      <c r="AW116" s="914"/>
      <c r="AX116" s="915"/>
      <c r="AY116" s="915"/>
      <c r="AZ116" s="916"/>
      <c r="BB116" s="914"/>
      <c r="BC116" s="915"/>
      <c r="BD116" s="915"/>
      <c r="BE116" s="916"/>
      <c r="BH116" s="914"/>
      <c r="BI116" s="915"/>
      <c r="BJ116" s="915"/>
      <c r="BK116" s="916"/>
    </row>
    <row r="117" spans="1:63">
      <c r="A117" s="907"/>
      <c r="B117" s="930"/>
      <c r="C117" s="982"/>
      <c r="D117" s="982"/>
      <c r="E117" s="982"/>
      <c r="F117" s="962"/>
      <c r="R117" s="914"/>
      <c r="S117" s="915"/>
      <c r="T117" s="915"/>
      <c r="U117" s="916"/>
      <c r="X117" s="914"/>
      <c r="Y117" s="915"/>
      <c r="Z117" s="915"/>
      <c r="AA117" s="916"/>
      <c r="AC117" s="914"/>
      <c r="AD117" s="915"/>
      <c r="AE117" s="915"/>
      <c r="AF117" s="916"/>
      <c r="AH117" s="914"/>
      <c r="AI117" s="915"/>
      <c r="AJ117" s="915"/>
      <c r="AK117" s="916"/>
      <c r="AM117" s="914"/>
      <c r="AN117" s="915"/>
      <c r="AO117" s="915"/>
      <c r="AP117" s="916"/>
      <c r="AR117" s="914"/>
      <c r="AS117" s="915"/>
      <c r="AT117" s="915"/>
      <c r="AU117" s="916"/>
      <c r="AW117" s="914"/>
      <c r="AX117" s="915"/>
      <c r="AY117" s="915"/>
      <c r="AZ117" s="916"/>
      <c r="BB117" s="914"/>
      <c r="BC117" s="915"/>
      <c r="BD117" s="915"/>
      <c r="BE117" s="916"/>
      <c r="BH117" s="914"/>
      <c r="BI117" s="915"/>
      <c r="BJ117" s="915"/>
      <c r="BK117" s="916"/>
    </row>
    <row r="118" spans="1:63">
      <c r="A118" s="907"/>
      <c r="B118" s="930"/>
      <c r="C118" s="982"/>
      <c r="D118" s="982"/>
      <c r="E118" s="982"/>
      <c r="F118" s="962"/>
      <c r="R118" s="914"/>
      <c r="S118" s="915"/>
      <c r="T118" s="915"/>
      <c r="U118" s="916"/>
      <c r="X118" s="914"/>
      <c r="Y118" s="915"/>
      <c r="Z118" s="915"/>
      <c r="AA118" s="916"/>
      <c r="AC118" s="914"/>
      <c r="AD118" s="915"/>
      <c r="AE118" s="915"/>
      <c r="AF118" s="916"/>
      <c r="AH118" s="914"/>
      <c r="AI118" s="915"/>
      <c r="AJ118" s="915"/>
      <c r="AK118" s="916"/>
      <c r="AM118" s="914"/>
      <c r="AN118" s="915"/>
      <c r="AO118" s="915"/>
      <c r="AP118" s="916"/>
      <c r="AR118" s="914"/>
      <c r="AS118" s="915"/>
      <c r="AT118" s="915"/>
      <c r="AU118" s="916"/>
      <c r="AW118" s="914"/>
      <c r="AX118" s="915"/>
      <c r="AY118" s="915"/>
      <c r="AZ118" s="916"/>
      <c r="BB118" s="914"/>
      <c r="BC118" s="915"/>
      <c r="BD118" s="915"/>
      <c r="BE118" s="916"/>
      <c r="BH118" s="914"/>
      <c r="BI118" s="915"/>
      <c r="BJ118" s="915"/>
      <c r="BK118" s="916"/>
    </row>
    <row r="119" spans="1:63">
      <c r="A119" s="907"/>
      <c r="B119" s="930"/>
      <c r="C119" s="982"/>
      <c r="D119" s="982"/>
      <c r="E119" s="982"/>
      <c r="F119" s="962"/>
      <c r="R119" s="914"/>
      <c r="S119" s="915"/>
      <c r="T119" s="915"/>
      <c r="U119" s="916"/>
      <c r="X119" s="914"/>
      <c r="Y119" s="915"/>
      <c r="Z119" s="915"/>
      <c r="AA119" s="916"/>
      <c r="AC119" s="914"/>
      <c r="AD119" s="915"/>
      <c r="AE119" s="915"/>
      <c r="AF119" s="916"/>
      <c r="AH119" s="914"/>
      <c r="AI119" s="915"/>
      <c r="AJ119" s="915"/>
      <c r="AK119" s="916"/>
      <c r="AM119" s="914"/>
      <c r="AN119" s="915"/>
      <c r="AO119" s="915"/>
      <c r="AP119" s="916"/>
      <c r="AR119" s="914"/>
      <c r="AS119" s="915"/>
      <c r="AT119" s="915"/>
      <c r="AU119" s="916"/>
      <c r="AW119" s="914"/>
      <c r="AX119" s="915"/>
      <c r="AY119" s="915"/>
      <c r="AZ119" s="916"/>
      <c r="BB119" s="914"/>
      <c r="BC119" s="915"/>
      <c r="BD119" s="915"/>
      <c r="BE119" s="916"/>
      <c r="BH119" s="914"/>
      <c r="BI119" s="915"/>
      <c r="BJ119" s="915"/>
      <c r="BK119" s="916"/>
    </row>
    <row r="120" spans="1:63">
      <c r="A120" s="907"/>
      <c r="B120" s="930"/>
      <c r="C120" s="982"/>
      <c r="D120" s="982"/>
      <c r="E120" s="982"/>
      <c r="F120" s="962"/>
      <c r="R120" s="914"/>
      <c r="S120" s="915"/>
      <c r="T120" s="915"/>
      <c r="U120" s="916"/>
      <c r="X120" s="914"/>
      <c r="Y120" s="915"/>
      <c r="Z120" s="915"/>
      <c r="AA120" s="916"/>
      <c r="AC120" s="914"/>
      <c r="AD120" s="915"/>
      <c r="AE120" s="915"/>
      <c r="AF120" s="916"/>
      <c r="AH120" s="914"/>
      <c r="AI120" s="915"/>
      <c r="AJ120" s="915"/>
      <c r="AK120" s="916"/>
      <c r="AM120" s="914"/>
      <c r="AN120" s="915"/>
      <c r="AO120" s="915"/>
      <c r="AP120" s="916"/>
      <c r="AR120" s="914"/>
      <c r="AS120" s="915"/>
      <c r="AT120" s="915"/>
      <c r="AU120" s="916"/>
      <c r="AW120" s="914"/>
      <c r="AX120" s="915"/>
      <c r="AY120" s="915"/>
      <c r="AZ120" s="916"/>
      <c r="BB120" s="914"/>
      <c r="BC120" s="915"/>
      <c r="BD120" s="915"/>
      <c r="BE120" s="916"/>
      <c r="BH120" s="914"/>
      <c r="BI120" s="915"/>
      <c r="BJ120" s="915"/>
      <c r="BK120" s="916"/>
    </row>
    <row r="121" spans="1:63">
      <c r="A121" s="907"/>
      <c r="B121" s="930"/>
      <c r="C121" s="982"/>
      <c r="D121" s="982"/>
      <c r="E121" s="982"/>
      <c r="F121" s="962"/>
      <c r="R121" s="914"/>
      <c r="S121" s="915"/>
      <c r="T121" s="915"/>
      <c r="U121" s="916"/>
      <c r="X121" s="914"/>
      <c r="Y121" s="915"/>
      <c r="Z121" s="915"/>
      <c r="AA121" s="916"/>
      <c r="AC121" s="914"/>
      <c r="AD121" s="915"/>
      <c r="AE121" s="915"/>
      <c r="AF121" s="916"/>
      <c r="AH121" s="914"/>
      <c r="AI121" s="915"/>
      <c r="AJ121" s="915"/>
      <c r="AK121" s="916"/>
      <c r="AM121" s="914"/>
      <c r="AN121" s="915"/>
      <c r="AO121" s="915"/>
      <c r="AP121" s="916"/>
      <c r="AR121" s="914"/>
      <c r="AS121" s="915"/>
      <c r="AT121" s="915"/>
      <c r="AU121" s="916"/>
      <c r="AW121" s="914"/>
      <c r="AX121" s="915"/>
      <c r="AY121" s="915"/>
      <c r="AZ121" s="916"/>
      <c r="BB121" s="914"/>
      <c r="BC121" s="915"/>
      <c r="BD121" s="915"/>
      <c r="BE121" s="916"/>
      <c r="BH121" s="914"/>
      <c r="BI121" s="915"/>
      <c r="BJ121" s="915"/>
      <c r="BK121" s="916"/>
    </row>
    <row r="122" spans="1:63">
      <c r="A122" s="907"/>
      <c r="B122" s="930"/>
      <c r="C122" s="982"/>
      <c r="D122" s="982"/>
      <c r="E122" s="982"/>
      <c r="F122" s="962"/>
      <c r="R122" s="914"/>
      <c r="S122" s="915"/>
      <c r="T122" s="915"/>
      <c r="U122" s="916"/>
      <c r="X122" s="914"/>
      <c r="Y122" s="915"/>
      <c r="Z122" s="915"/>
      <c r="AA122" s="916"/>
      <c r="AC122" s="914"/>
      <c r="AD122" s="915"/>
      <c r="AE122" s="915"/>
      <c r="AF122" s="916"/>
      <c r="AH122" s="914"/>
      <c r="AI122" s="915"/>
      <c r="AJ122" s="915"/>
      <c r="AK122" s="916"/>
      <c r="AM122" s="914"/>
      <c r="AN122" s="915"/>
      <c r="AO122" s="915"/>
      <c r="AP122" s="916"/>
      <c r="AR122" s="914"/>
      <c r="AS122" s="915"/>
      <c r="AT122" s="915"/>
      <c r="AU122" s="916"/>
      <c r="AW122" s="914"/>
      <c r="AX122" s="915"/>
      <c r="AY122" s="915"/>
      <c r="AZ122" s="916"/>
      <c r="BB122" s="914"/>
      <c r="BC122" s="915"/>
      <c r="BD122" s="915"/>
      <c r="BE122" s="916"/>
      <c r="BH122" s="914"/>
      <c r="BI122" s="915"/>
      <c r="BJ122" s="915"/>
      <c r="BK122" s="916"/>
    </row>
    <row r="123" spans="1:63">
      <c r="A123" s="907"/>
      <c r="B123" s="930"/>
      <c r="C123" s="982"/>
      <c r="D123" s="982"/>
      <c r="E123" s="982"/>
      <c r="F123" s="962"/>
      <c r="R123" s="914"/>
      <c r="S123" s="915"/>
      <c r="T123" s="915"/>
      <c r="U123" s="916"/>
      <c r="X123" s="914"/>
      <c r="Y123" s="915"/>
      <c r="Z123" s="915"/>
      <c r="AA123" s="916"/>
      <c r="AC123" s="914"/>
      <c r="AD123" s="915"/>
      <c r="AE123" s="915"/>
      <c r="AF123" s="916"/>
      <c r="AH123" s="914"/>
      <c r="AI123" s="915"/>
      <c r="AJ123" s="915"/>
      <c r="AK123" s="916"/>
      <c r="AM123" s="914"/>
      <c r="AN123" s="915"/>
      <c r="AO123" s="915"/>
      <c r="AP123" s="916"/>
      <c r="AR123" s="914"/>
      <c r="AS123" s="915"/>
      <c r="AT123" s="915"/>
      <c r="AU123" s="916"/>
      <c r="AW123" s="914"/>
      <c r="AX123" s="915"/>
      <c r="AY123" s="915"/>
      <c r="AZ123" s="916"/>
      <c r="BB123" s="914"/>
      <c r="BC123" s="915"/>
      <c r="BD123" s="915"/>
      <c r="BE123" s="916"/>
      <c r="BH123" s="914"/>
      <c r="BI123" s="915"/>
      <c r="BJ123" s="915"/>
      <c r="BK123" s="916"/>
    </row>
    <row r="124" spans="1:63">
      <c r="A124" s="907"/>
      <c r="B124" s="930"/>
      <c r="C124" s="982"/>
      <c r="D124" s="982"/>
      <c r="E124" s="982"/>
      <c r="F124" s="962"/>
      <c r="R124" s="914"/>
      <c r="S124" s="915"/>
      <c r="T124" s="915"/>
      <c r="U124" s="916"/>
      <c r="X124" s="914"/>
      <c r="Y124" s="915"/>
      <c r="Z124" s="915"/>
      <c r="AA124" s="916"/>
      <c r="AC124" s="914"/>
      <c r="AD124" s="915"/>
      <c r="AE124" s="915"/>
      <c r="AF124" s="916"/>
      <c r="AH124" s="914"/>
      <c r="AI124" s="915"/>
      <c r="AJ124" s="915"/>
      <c r="AK124" s="916"/>
      <c r="AM124" s="914"/>
      <c r="AN124" s="915"/>
      <c r="AO124" s="915"/>
      <c r="AP124" s="916"/>
      <c r="AR124" s="914"/>
      <c r="AS124" s="915"/>
      <c r="AT124" s="915"/>
      <c r="AU124" s="916"/>
      <c r="AW124" s="914"/>
      <c r="AX124" s="915"/>
      <c r="AY124" s="915"/>
      <c r="AZ124" s="916"/>
      <c r="BB124" s="914"/>
      <c r="BC124" s="915"/>
      <c r="BD124" s="915"/>
      <c r="BE124" s="916"/>
      <c r="BH124" s="914"/>
      <c r="BI124" s="915"/>
      <c r="BJ124" s="915"/>
      <c r="BK124" s="916"/>
    </row>
    <row r="125" spans="1:63">
      <c r="A125" s="907"/>
      <c r="B125" s="930"/>
      <c r="C125" s="982"/>
      <c r="D125" s="982"/>
      <c r="E125" s="982"/>
      <c r="F125" s="962"/>
      <c r="R125" s="914"/>
      <c r="S125" s="915"/>
      <c r="T125" s="915"/>
      <c r="U125" s="916"/>
      <c r="X125" s="914"/>
      <c r="Y125" s="915"/>
      <c r="Z125" s="915"/>
      <c r="AA125" s="916"/>
      <c r="AC125" s="914"/>
      <c r="AD125" s="915"/>
      <c r="AE125" s="915"/>
      <c r="AF125" s="916"/>
      <c r="AH125" s="914"/>
      <c r="AI125" s="915"/>
      <c r="AJ125" s="915"/>
      <c r="AK125" s="916"/>
      <c r="AM125" s="914"/>
      <c r="AN125" s="915"/>
      <c r="AO125" s="915"/>
      <c r="AP125" s="916"/>
      <c r="AR125" s="914"/>
      <c r="AS125" s="915"/>
      <c r="AT125" s="915"/>
      <c r="AU125" s="916"/>
      <c r="AW125" s="914"/>
      <c r="AX125" s="915"/>
      <c r="AY125" s="915"/>
      <c r="AZ125" s="916"/>
      <c r="BB125" s="914"/>
      <c r="BC125" s="915"/>
      <c r="BD125" s="915"/>
      <c r="BE125" s="916"/>
      <c r="BH125" s="914"/>
      <c r="BI125" s="915"/>
      <c r="BJ125" s="915"/>
      <c r="BK125" s="916"/>
    </row>
    <row r="126" spans="1:63">
      <c r="A126" s="907"/>
      <c r="B126" s="930"/>
      <c r="C126" s="982"/>
      <c r="D126" s="982"/>
      <c r="E126" s="982"/>
      <c r="F126" s="962"/>
      <c r="R126" s="914"/>
      <c r="S126" s="915"/>
      <c r="T126" s="915"/>
      <c r="U126" s="916"/>
      <c r="X126" s="914"/>
      <c r="Y126" s="915"/>
      <c r="Z126" s="915"/>
      <c r="AA126" s="916"/>
      <c r="AC126" s="914"/>
      <c r="AD126" s="915"/>
      <c r="AE126" s="915"/>
      <c r="AF126" s="916"/>
      <c r="AH126" s="914"/>
      <c r="AI126" s="915"/>
      <c r="AJ126" s="915"/>
      <c r="AK126" s="916"/>
      <c r="AM126" s="914"/>
      <c r="AN126" s="915"/>
      <c r="AO126" s="915"/>
      <c r="AP126" s="916"/>
      <c r="AR126" s="914"/>
      <c r="AS126" s="915"/>
      <c r="AT126" s="915"/>
      <c r="AU126" s="916"/>
      <c r="AW126" s="914"/>
      <c r="AX126" s="915"/>
      <c r="AY126" s="915"/>
      <c r="AZ126" s="916"/>
      <c r="BB126" s="914"/>
      <c r="BC126" s="915"/>
      <c r="BD126" s="915"/>
      <c r="BE126" s="916"/>
      <c r="BH126" s="914"/>
      <c r="BI126" s="915"/>
      <c r="BJ126" s="915"/>
      <c r="BK126" s="916"/>
    </row>
    <row r="127" spans="1:63">
      <c r="A127" s="907"/>
      <c r="B127" s="930"/>
      <c r="C127" s="982"/>
      <c r="D127" s="982"/>
      <c r="E127" s="982"/>
      <c r="F127" s="962"/>
      <c r="R127" s="914"/>
      <c r="S127" s="915"/>
      <c r="T127" s="915"/>
      <c r="U127" s="916"/>
      <c r="X127" s="914"/>
      <c r="Y127" s="915"/>
      <c r="Z127" s="915"/>
      <c r="AA127" s="916"/>
      <c r="AC127" s="914"/>
      <c r="AD127" s="915"/>
      <c r="AE127" s="915"/>
      <c r="AF127" s="916"/>
      <c r="AH127" s="914"/>
      <c r="AI127" s="915"/>
      <c r="AJ127" s="915"/>
      <c r="AK127" s="916"/>
      <c r="AM127" s="914"/>
      <c r="AN127" s="915"/>
      <c r="AO127" s="915"/>
      <c r="AP127" s="916"/>
      <c r="AR127" s="914"/>
      <c r="AS127" s="915"/>
      <c r="AT127" s="915"/>
      <c r="AU127" s="916"/>
      <c r="AW127" s="914"/>
      <c r="AX127" s="915"/>
      <c r="AY127" s="915"/>
      <c r="AZ127" s="916"/>
      <c r="BB127" s="914"/>
      <c r="BC127" s="915"/>
      <c r="BD127" s="915"/>
      <c r="BE127" s="916"/>
      <c r="BH127" s="914"/>
      <c r="BI127" s="915"/>
      <c r="BJ127" s="915"/>
      <c r="BK127" s="916"/>
    </row>
    <row r="128" spans="1:63">
      <c r="A128" s="907"/>
      <c r="B128" s="930"/>
      <c r="C128" s="982"/>
      <c r="D128" s="982"/>
      <c r="E128" s="982"/>
      <c r="F128" s="962"/>
      <c r="R128" s="914"/>
      <c r="S128" s="915"/>
      <c r="T128" s="915"/>
      <c r="U128" s="916"/>
      <c r="X128" s="914"/>
      <c r="Y128" s="915"/>
      <c r="Z128" s="915"/>
      <c r="AA128" s="916"/>
      <c r="AC128" s="914"/>
      <c r="AD128" s="915"/>
      <c r="AE128" s="915"/>
      <c r="AF128" s="916"/>
      <c r="AH128" s="914"/>
      <c r="AI128" s="915"/>
      <c r="AJ128" s="915"/>
      <c r="AK128" s="916"/>
      <c r="AM128" s="914"/>
      <c r="AN128" s="915"/>
      <c r="AO128" s="915"/>
      <c r="AP128" s="916"/>
      <c r="AR128" s="914"/>
      <c r="AS128" s="915"/>
      <c r="AT128" s="915"/>
      <c r="AU128" s="916"/>
      <c r="AW128" s="914"/>
      <c r="AX128" s="915"/>
      <c r="AY128" s="915"/>
      <c r="AZ128" s="916"/>
      <c r="BB128" s="914"/>
      <c r="BC128" s="915"/>
      <c r="BD128" s="915"/>
      <c r="BE128" s="916"/>
      <c r="BH128" s="914"/>
      <c r="BI128" s="915"/>
      <c r="BJ128" s="915"/>
      <c r="BK128" s="916"/>
    </row>
    <row r="129" spans="1:63">
      <c r="A129" s="907"/>
      <c r="B129" s="930"/>
      <c r="C129" s="982"/>
      <c r="D129" s="982"/>
      <c r="E129" s="982"/>
      <c r="F129" s="962"/>
      <c r="R129" s="914"/>
      <c r="S129" s="915"/>
      <c r="T129" s="915"/>
      <c r="U129" s="916"/>
      <c r="X129" s="914"/>
      <c r="Y129" s="915"/>
      <c r="Z129" s="915"/>
      <c r="AA129" s="916"/>
      <c r="AC129" s="914"/>
      <c r="AD129" s="915"/>
      <c r="AE129" s="915"/>
      <c r="AF129" s="916"/>
      <c r="AH129" s="914"/>
      <c r="AI129" s="915"/>
      <c r="AJ129" s="915"/>
      <c r="AK129" s="916"/>
      <c r="AM129" s="914"/>
      <c r="AN129" s="915"/>
      <c r="AO129" s="915"/>
      <c r="AP129" s="916"/>
      <c r="AR129" s="914"/>
      <c r="AS129" s="915"/>
      <c r="AT129" s="915"/>
      <c r="AU129" s="916"/>
      <c r="AW129" s="914"/>
      <c r="AX129" s="915"/>
      <c r="AY129" s="915"/>
      <c r="AZ129" s="916"/>
      <c r="BB129" s="914"/>
      <c r="BC129" s="915"/>
      <c r="BD129" s="915"/>
      <c r="BE129" s="916"/>
      <c r="BH129" s="914"/>
      <c r="BI129" s="915"/>
      <c r="BJ129" s="915"/>
      <c r="BK129" s="916"/>
    </row>
    <row r="130" spans="1:63">
      <c r="A130" s="907"/>
      <c r="B130" s="930"/>
      <c r="C130" s="982"/>
      <c r="D130" s="982"/>
      <c r="E130" s="982"/>
      <c r="F130" s="962"/>
      <c r="R130" s="914"/>
      <c r="S130" s="915"/>
      <c r="T130" s="915"/>
      <c r="U130" s="916"/>
      <c r="X130" s="914"/>
      <c r="Y130" s="915"/>
      <c r="Z130" s="915"/>
      <c r="AA130" s="916"/>
      <c r="AC130" s="914"/>
      <c r="AD130" s="915"/>
      <c r="AE130" s="915"/>
      <c r="AF130" s="916"/>
      <c r="AH130" s="914"/>
      <c r="AI130" s="915"/>
      <c r="AJ130" s="915"/>
      <c r="AK130" s="916"/>
      <c r="AM130" s="914"/>
      <c r="AN130" s="915"/>
      <c r="AO130" s="915"/>
      <c r="AP130" s="916"/>
      <c r="AR130" s="914"/>
      <c r="AS130" s="915"/>
      <c r="AT130" s="915"/>
      <c r="AU130" s="916"/>
      <c r="AW130" s="914"/>
      <c r="AX130" s="915"/>
      <c r="AY130" s="915"/>
      <c r="AZ130" s="916"/>
      <c r="BB130" s="914"/>
      <c r="BC130" s="915"/>
      <c r="BD130" s="915"/>
      <c r="BE130" s="916"/>
      <c r="BH130" s="914"/>
      <c r="BI130" s="915"/>
      <c r="BJ130" s="915"/>
      <c r="BK130" s="916"/>
    </row>
    <row r="131" spans="1:63">
      <c r="A131" s="907"/>
      <c r="B131" s="930"/>
      <c r="C131" s="982"/>
      <c r="D131" s="982"/>
      <c r="E131" s="982"/>
      <c r="F131" s="962"/>
      <c r="R131" s="914"/>
      <c r="S131" s="915"/>
      <c r="T131" s="915"/>
      <c r="U131" s="916"/>
      <c r="X131" s="914"/>
      <c r="Y131" s="915"/>
      <c r="Z131" s="915"/>
      <c r="AA131" s="916"/>
      <c r="AC131" s="914"/>
      <c r="AD131" s="915"/>
      <c r="AE131" s="915"/>
      <c r="AF131" s="916"/>
      <c r="AH131" s="914"/>
      <c r="AI131" s="915"/>
      <c r="AJ131" s="915"/>
      <c r="AK131" s="916"/>
      <c r="AM131" s="914"/>
      <c r="AN131" s="915"/>
      <c r="AO131" s="915"/>
      <c r="AP131" s="916"/>
      <c r="AR131" s="914"/>
      <c r="AS131" s="915"/>
      <c r="AT131" s="915"/>
      <c r="AU131" s="916"/>
      <c r="AW131" s="914"/>
      <c r="AX131" s="915"/>
      <c r="AY131" s="915"/>
      <c r="AZ131" s="916"/>
      <c r="BB131" s="914"/>
      <c r="BC131" s="915"/>
      <c r="BD131" s="915"/>
      <c r="BE131" s="916"/>
      <c r="BH131" s="914"/>
      <c r="BI131" s="915"/>
      <c r="BJ131" s="915"/>
      <c r="BK131" s="916"/>
    </row>
    <row r="132" spans="1:63">
      <c r="A132" s="907"/>
      <c r="B132" s="930"/>
      <c r="C132" s="982"/>
      <c r="D132" s="982"/>
      <c r="E132" s="982"/>
      <c r="F132" s="962"/>
      <c r="R132" s="914"/>
      <c r="S132" s="915"/>
      <c r="T132" s="915"/>
      <c r="U132" s="916"/>
      <c r="X132" s="914"/>
      <c r="Y132" s="915"/>
      <c r="Z132" s="915"/>
      <c r="AA132" s="916"/>
      <c r="AC132" s="914"/>
      <c r="AD132" s="915"/>
      <c r="AE132" s="915"/>
      <c r="AF132" s="916"/>
      <c r="AH132" s="914"/>
      <c r="AI132" s="915"/>
      <c r="AJ132" s="915"/>
      <c r="AK132" s="916"/>
      <c r="AM132" s="914"/>
      <c r="AN132" s="915"/>
      <c r="AO132" s="915"/>
      <c r="AP132" s="916"/>
      <c r="AR132" s="914"/>
      <c r="AS132" s="915"/>
      <c r="AT132" s="915"/>
      <c r="AU132" s="916"/>
      <c r="AW132" s="914"/>
      <c r="AX132" s="915"/>
      <c r="AY132" s="915"/>
      <c r="AZ132" s="916"/>
      <c r="BB132" s="914"/>
      <c r="BC132" s="915"/>
      <c r="BD132" s="915"/>
      <c r="BE132" s="916"/>
      <c r="BH132" s="914"/>
      <c r="BI132" s="915"/>
      <c r="BJ132" s="915"/>
      <c r="BK132" s="916"/>
    </row>
    <row r="133" spans="1:63">
      <c r="A133" s="907"/>
      <c r="B133" s="930"/>
      <c r="C133" s="982"/>
      <c r="D133" s="982"/>
      <c r="E133" s="982"/>
      <c r="F133" s="962"/>
      <c r="R133" s="914"/>
      <c r="S133" s="915"/>
      <c r="T133" s="915"/>
      <c r="U133" s="916"/>
      <c r="X133" s="914"/>
      <c r="Y133" s="915"/>
      <c r="Z133" s="915"/>
      <c r="AA133" s="916"/>
      <c r="AC133" s="914"/>
      <c r="AD133" s="915"/>
      <c r="AE133" s="915"/>
      <c r="AF133" s="916"/>
      <c r="AH133" s="914"/>
      <c r="AI133" s="915"/>
      <c r="AJ133" s="915"/>
      <c r="AK133" s="916"/>
      <c r="AM133" s="914"/>
      <c r="AN133" s="915"/>
      <c r="AO133" s="915"/>
      <c r="AP133" s="916"/>
      <c r="AR133" s="914"/>
      <c r="AS133" s="915"/>
      <c r="AT133" s="915"/>
      <c r="AU133" s="916"/>
      <c r="AW133" s="914"/>
      <c r="AX133" s="915"/>
      <c r="AY133" s="915"/>
      <c r="AZ133" s="916"/>
      <c r="BB133" s="914"/>
      <c r="BC133" s="915"/>
      <c r="BD133" s="915"/>
      <c r="BE133" s="916"/>
      <c r="BH133" s="914"/>
      <c r="BI133" s="915"/>
      <c r="BJ133" s="915"/>
      <c r="BK133" s="916"/>
    </row>
    <row r="134" spans="1:63">
      <c r="A134" s="907"/>
      <c r="B134" s="930"/>
      <c r="C134" s="982"/>
      <c r="D134" s="982"/>
      <c r="E134" s="982"/>
      <c r="F134" s="962"/>
      <c r="R134" s="914"/>
      <c r="S134" s="915"/>
      <c r="T134" s="915"/>
      <c r="U134" s="916"/>
      <c r="X134" s="914"/>
      <c r="Y134" s="915"/>
      <c r="Z134" s="915"/>
      <c r="AA134" s="916"/>
      <c r="AC134" s="914"/>
      <c r="AD134" s="915"/>
      <c r="AE134" s="915"/>
      <c r="AF134" s="916"/>
      <c r="AH134" s="914"/>
      <c r="AI134" s="915"/>
      <c r="AJ134" s="915"/>
      <c r="AK134" s="916"/>
      <c r="AM134" s="914"/>
      <c r="AN134" s="915"/>
      <c r="AO134" s="915"/>
      <c r="AP134" s="916"/>
      <c r="AR134" s="914"/>
      <c r="AS134" s="915"/>
      <c r="AT134" s="915"/>
      <c r="AU134" s="916"/>
      <c r="AW134" s="914"/>
      <c r="AX134" s="915"/>
      <c r="AY134" s="915"/>
      <c r="AZ134" s="916"/>
      <c r="BB134" s="914"/>
      <c r="BC134" s="915"/>
      <c r="BD134" s="915"/>
      <c r="BE134" s="916"/>
      <c r="BH134" s="914"/>
      <c r="BI134" s="915"/>
      <c r="BJ134" s="915"/>
      <c r="BK134" s="916"/>
    </row>
    <row r="135" spans="1:63">
      <c r="A135" s="907"/>
      <c r="B135" s="930"/>
      <c r="C135" s="982"/>
      <c r="D135" s="982"/>
      <c r="E135" s="982"/>
      <c r="F135" s="962"/>
      <c r="R135" s="914"/>
      <c r="S135" s="915"/>
      <c r="T135" s="915"/>
      <c r="U135" s="916"/>
      <c r="X135" s="914"/>
      <c r="Y135" s="915"/>
      <c r="Z135" s="915"/>
      <c r="AA135" s="916"/>
      <c r="AC135" s="914"/>
      <c r="AD135" s="915"/>
      <c r="AE135" s="915"/>
      <c r="AF135" s="916"/>
      <c r="AH135" s="914"/>
      <c r="AI135" s="915"/>
      <c r="AJ135" s="915"/>
      <c r="AK135" s="916"/>
      <c r="AM135" s="914"/>
      <c r="AN135" s="915"/>
      <c r="AO135" s="915"/>
      <c r="AP135" s="916"/>
      <c r="AR135" s="914"/>
      <c r="AS135" s="915"/>
      <c r="AT135" s="915"/>
      <c r="AU135" s="916"/>
      <c r="AW135" s="914"/>
      <c r="AX135" s="915"/>
      <c r="AY135" s="915"/>
      <c r="AZ135" s="916"/>
      <c r="BB135" s="914"/>
      <c r="BC135" s="915"/>
      <c r="BD135" s="915"/>
      <c r="BE135" s="916"/>
      <c r="BH135" s="914"/>
      <c r="BI135" s="915"/>
      <c r="BJ135" s="915"/>
      <c r="BK135" s="916"/>
    </row>
    <row r="136" spans="1:63">
      <c r="A136" s="907"/>
      <c r="B136" s="930"/>
      <c r="C136" s="982"/>
      <c r="D136" s="982"/>
      <c r="E136" s="982"/>
      <c r="F136" s="962"/>
      <c r="R136" s="914"/>
      <c r="S136" s="915"/>
      <c r="T136" s="915"/>
      <c r="U136" s="916"/>
      <c r="X136" s="914"/>
      <c r="Y136" s="915"/>
      <c r="Z136" s="915"/>
      <c r="AA136" s="916"/>
      <c r="AC136" s="914"/>
      <c r="AD136" s="915"/>
      <c r="AE136" s="915"/>
      <c r="AF136" s="916"/>
      <c r="AH136" s="914"/>
      <c r="AI136" s="915"/>
      <c r="AJ136" s="915"/>
      <c r="AK136" s="916"/>
      <c r="AM136" s="914"/>
      <c r="AN136" s="915"/>
      <c r="AO136" s="915"/>
      <c r="AP136" s="916"/>
      <c r="AR136" s="914"/>
      <c r="AS136" s="915"/>
      <c r="AT136" s="915"/>
      <c r="AU136" s="916"/>
      <c r="AW136" s="914"/>
      <c r="AX136" s="915"/>
      <c r="AY136" s="915"/>
      <c r="AZ136" s="916"/>
      <c r="BB136" s="914"/>
      <c r="BC136" s="915"/>
      <c r="BD136" s="915"/>
      <c r="BE136" s="916"/>
      <c r="BH136" s="914"/>
      <c r="BI136" s="915"/>
      <c r="BJ136" s="915"/>
      <c r="BK136" s="916"/>
    </row>
    <row r="137" spans="1:63">
      <c r="A137" s="907"/>
      <c r="B137" s="930"/>
      <c r="C137" s="982"/>
      <c r="D137" s="982"/>
      <c r="E137" s="982"/>
      <c r="F137" s="962"/>
      <c r="R137" s="914"/>
      <c r="S137" s="915"/>
      <c r="T137" s="915"/>
      <c r="U137" s="916"/>
      <c r="X137" s="914"/>
      <c r="Y137" s="915"/>
      <c r="Z137" s="915"/>
      <c r="AA137" s="916"/>
      <c r="AC137" s="914"/>
      <c r="AD137" s="915"/>
      <c r="AE137" s="915"/>
      <c r="AF137" s="916"/>
      <c r="AH137" s="914"/>
      <c r="AI137" s="915"/>
      <c r="AJ137" s="915"/>
      <c r="AK137" s="916"/>
      <c r="AM137" s="914"/>
      <c r="AN137" s="915"/>
      <c r="AO137" s="915"/>
      <c r="AP137" s="916"/>
      <c r="AR137" s="914"/>
      <c r="AS137" s="915"/>
      <c r="AT137" s="915"/>
      <c r="AU137" s="916"/>
      <c r="AW137" s="914"/>
      <c r="AX137" s="915"/>
      <c r="AY137" s="915"/>
      <c r="AZ137" s="916"/>
      <c r="BB137" s="914"/>
      <c r="BC137" s="915"/>
      <c r="BD137" s="915"/>
      <c r="BE137" s="916"/>
      <c r="BH137" s="914"/>
      <c r="BI137" s="915"/>
      <c r="BJ137" s="915"/>
      <c r="BK137" s="916"/>
    </row>
    <row r="138" spans="1:63">
      <c r="A138" s="907"/>
      <c r="B138" s="930"/>
      <c r="C138" s="982"/>
      <c r="D138" s="982"/>
      <c r="E138" s="982"/>
      <c r="F138" s="962"/>
      <c r="R138" s="914"/>
      <c r="S138" s="915"/>
      <c r="T138" s="915"/>
      <c r="U138" s="916"/>
      <c r="X138" s="914"/>
      <c r="Y138" s="915"/>
      <c r="Z138" s="915"/>
      <c r="AA138" s="916"/>
      <c r="AC138" s="914"/>
      <c r="AD138" s="915"/>
      <c r="AE138" s="915"/>
      <c r="AF138" s="916"/>
      <c r="AH138" s="914"/>
      <c r="AI138" s="915"/>
      <c r="AJ138" s="915"/>
      <c r="AK138" s="916"/>
      <c r="AM138" s="914"/>
      <c r="AN138" s="915"/>
      <c r="AO138" s="915"/>
      <c r="AP138" s="916"/>
      <c r="AR138" s="914"/>
      <c r="AS138" s="915"/>
      <c r="AT138" s="915"/>
      <c r="AU138" s="916"/>
      <c r="AW138" s="914"/>
      <c r="AX138" s="915"/>
      <c r="AY138" s="915"/>
      <c r="AZ138" s="916"/>
      <c r="BB138" s="914"/>
      <c r="BC138" s="915"/>
      <c r="BD138" s="915"/>
      <c r="BE138" s="916"/>
      <c r="BH138" s="914"/>
      <c r="BI138" s="915"/>
      <c r="BJ138" s="915"/>
      <c r="BK138" s="916"/>
    </row>
    <row r="139" spans="1:63">
      <c r="A139" s="907"/>
      <c r="B139" s="930"/>
      <c r="C139" s="982"/>
      <c r="D139" s="982"/>
      <c r="E139" s="982"/>
      <c r="F139" s="962"/>
      <c r="R139" s="914"/>
      <c r="S139" s="915"/>
      <c r="T139" s="915"/>
      <c r="U139" s="916"/>
      <c r="X139" s="914"/>
      <c r="Y139" s="915"/>
      <c r="Z139" s="915"/>
      <c r="AA139" s="916"/>
      <c r="AC139" s="914"/>
      <c r="AD139" s="915"/>
      <c r="AE139" s="915"/>
      <c r="AF139" s="916"/>
      <c r="AH139" s="914"/>
      <c r="AI139" s="915"/>
      <c r="AJ139" s="915"/>
      <c r="AK139" s="916"/>
      <c r="AM139" s="914"/>
      <c r="AN139" s="915"/>
      <c r="AO139" s="915"/>
      <c r="AP139" s="916"/>
      <c r="AR139" s="914"/>
      <c r="AS139" s="915"/>
      <c r="AT139" s="915"/>
      <c r="AU139" s="916"/>
      <c r="AW139" s="914"/>
      <c r="AX139" s="915"/>
      <c r="AY139" s="915"/>
      <c r="AZ139" s="916"/>
      <c r="BB139" s="914"/>
      <c r="BC139" s="915"/>
      <c r="BD139" s="915"/>
      <c r="BE139" s="916"/>
      <c r="BH139" s="914"/>
      <c r="BI139" s="915"/>
      <c r="BJ139" s="915"/>
      <c r="BK139" s="916"/>
    </row>
    <row r="140" spans="1:63">
      <c r="A140" s="907"/>
      <c r="B140" s="930"/>
      <c r="C140" s="982"/>
      <c r="D140" s="982"/>
      <c r="E140" s="982"/>
      <c r="F140" s="962"/>
      <c r="R140" s="914"/>
      <c r="S140" s="915"/>
      <c r="T140" s="915"/>
      <c r="U140" s="916"/>
      <c r="X140" s="914"/>
      <c r="Y140" s="915"/>
      <c r="Z140" s="915"/>
      <c r="AA140" s="916"/>
      <c r="AC140" s="914"/>
      <c r="AD140" s="915"/>
      <c r="AE140" s="915"/>
      <c r="AF140" s="916"/>
      <c r="AH140" s="914"/>
      <c r="AI140" s="915"/>
      <c r="AJ140" s="915"/>
      <c r="AK140" s="916"/>
      <c r="AM140" s="914"/>
      <c r="AN140" s="915"/>
      <c r="AO140" s="915"/>
      <c r="AP140" s="916"/>
      <c r="AR140" s="914"/>
      <c r="AS140" s="915"/>
      <c r="AT140" s="915"/>
      <c r="AU140" s="916"/>
      <c r="AW140" s="914"/>
      <c r="AX140" s="915"/>
      <c r="AY140" s="915"/>
      <c r="AZ140" s="916"/>
      <c r="BB140" s="914"/>
      <c r="BC140" s="915"/>
      <c r="BD140" s="915"/>
      <c r="BE140" s="916"/>
      <c r="BH140" s="914"/>
      <c r="BI140" s="915"/>
      <c r="BJ140" s="915"/>
      <c r="BK140" s="916"/>
    </row>
    <row r="141" spans="1:63">
      <c r="A141" s="907"/>
      <c r="B141" s="930"/>
      <c r="C141" s="982"/>
      <c r="D141" s="982"/>
      <c r="E141" s="982"/>
      <c r="F141" s="962"/>
      <c r="R141" s="914"/>
      <c r="S141" s="915"/>
      <c r="T141" s="915"/>
      <c r="U141" s="916"/>
      <c r="X141" s="914"/>
      <c r="Y141" s="915"/>
      <c r="Z141" s="915"/>
      <c r="AA141" s="916"/>
      <c r="AC141" s="914"/>
      <c r="AD141" s="915"/>
      <c r="AE141" s="915"/>
      <c r="AF141" s="916"/>
      <c r="AH141" s="914"/>
      <c r="AI141" s="915"/>
      <c r="AJ141" s="915"/>
      <c r="AK141" s="916"/>
      <c r="AM141" s="914"/>
      <c r="AN141" s="915"/>
      <c r="AO141" s="915"/>
      <c r="AP141" s="916"/>
      <c r="AR141" s="914"/>
      <c r="AS141" s="915"/>
      <c r="AT141" s="915"/>
      <c r="AU141" s="916"/>
      <c r="AW141" s="914"/>
      <c r="AX141" s="915"/>
      <c r="AY141" s="915"/>
      <c r="AZ141" s="916"/>
      <c r="BB141" s="914"/>
      <c r="BC141" s="915"/>
      <c r="BD141" s="915"/>
      <c r="BE141" s="916"/>
      <c r="BH141" s="914"/>
      <c r="BI141" s="915"/>
      <c r="BJ141" s="915"/>
      <c r="BK141" s="916"/>
    </row>
    <row r="142" spans="1:63">
      <c r="A142" s="907"/>
      <c r="B142" s="930"/>
      <c r="C142" s="982"/>
      <c r="D142" s="982"/>
      <c r="E142" s="982"/>
      <c r="F142" s="962"/>
      <c r="R142" s="914"/>
      <c r="S142" s="915"/>
      <c r="T142" s="915"/>
      <c r="U142" s="916"/>
      <c r="X142" s="914"/>
      <c r="Y142" s="915"/>
      <c r="Z142" s="915"/>
      <c r="AA142" s="916"/>
      <c r="AC142" s="914"/>
      <c r="AD142" s="915"/>
      <c r="AE142" s="915"/>
      <c r="AF142" s="916"/>
      <c r="AH142" s="914"/>
      <c r="AI142" s="915"/>
      <c r="AJ142" s="915"/>
      <c r="AK142" s="916"/>
      <c r="AM142" s="914"/>
      <c r="AN142" s="915"/>
      <c r="AO142" s="915"/>
      <c r="AP142" s="916"/>
      <c r="AR142" s="914"/>
      <c r="AS142" s="915"/>
      <c r="AT142" s="915"/>
      <c r="AU142" s="916"/>
      <c r="AW142" s="914"/>
      <c r="AX142" s="915"/>
      <c r="AY142" s="915"/>
      <c r="AZ142" s="916"/>
      <c r="BB142" s="914"/>
      <c r="BC142" s="915"/>
      <c r="BD142" s="915"/>
      <c r="BE142" s="916"/>
      <c r="BH142" s="914"/>
      <c r="BI142" s="915"/>
      <c r="BJ142" s="915"/>
      <c r="BK142" s="916"/>
    </row>
    <row r="143" spans="1:63">
      <c r="A143" s="907"/>
      <c r="B143" s="930"/>
      <c r="C143" s="982"/>
      <c r="D143" s="982"/>
      <c r="E143" s="982"/>
      <c r="F143" s="962"/>
      <c r="R143" s="914"/>
      <c r="S143" s="915"/>
      <c r="T143" s="915"/>
      <c r="U143" s="916"/>
      <c r="X143" s="914"/>
      <c r="Y143" s="915"/>
      <c r="Z143" s="915"/>
      <c r="AA143" s="916"/>
      <c r="AC143" s="914"/>
      <c r="AD143" s="915"/>
      <c r="AE143" s="915"/>
      <c r="AF143" s="916"/>
      <c r="AH143" s="914"/>
      <c r="AI143" s="915"/>
      <c r="AJ143" s="915"/>
      <c r="AK143" s="916"/>
      <c r="AM143" s="914"/>
      <c r="AN143" s="915"/>
      <c r="AO143" s="915"/>
      <c r="AP143" s="916"/>
      <c r="AR143" s="914"/>
      <c r="AS143" s="915"/>
      <c r="AT143" s="915"/>
      <c r="AU143" s="916"/>
      <c r="AW143" s="914"/>
      <c r="AX143" s="915"/>
      <c r="AY143" s="915"/>
      <c r="AZ143" s="916"/>
      <c r="BB143" s="914"/>
      <c r="BC143" s="915"/>
      <c r="BD143" s="915"/>
      <c r="BE143" s="916"/>
      <c r="BH143" s="914"/>
      <c r="BI143" s="915"/>
      <c r="BJ143" s="915"/>
      <c r="BK143" s="916"/>
    </row>
    <row r="144" spans="1:63">
      <c r="A144" s="907"/>
      <c r="B144" s="930"/>
      <c r="C144" s="982"/>
      <c r="D144" s="982"/>
      <c r="E144" s="982"/>
      <c r="F144" s="962"/>
      <c r="R144" s="914"/>
      <c r="S144" s="915"/>
      <c r="T144" s="915"/>
      <c r="U144" s="916"/>
      <c r="X144" s="914"/>
      <c r="Y144" s="915"/>
      <c r="Z144" s="915"/>
      <c r="AA144" s="916"/>
      <c r="AC144" s="914"/>
      <c r="AD144" s="915"/>
      <c r="AE144" s="915"/>
      <c r="AF144" s="916"/>
      <c r="AH144" s="914"/>
      <c r="AI144" s="915"/>
      <c r="AJ144" s="915"/>
      <c r="AK144" s="916"/>
      <c r="AM144" s="914"/>
      <c r="AN144" s="915"/>
      <c r="AO144" s="915"/>
      <c r="AP144" s="916"/>
      <c r="AR144" s="914"/>
      <c r="AS144" s="915"/>
      <c r="AT144" s="915"/>
      <c r="AU144" s="916"/>
      <c r="AW144" s="914"/>
      <c r="AX144" s="915"/>
      <c r="AY144" s="915"/>
      <c r="AZ144" s="916"/>
      <c r="BB144" s="914"/>
      <c r="BC144" s="915"/>
      <c r="BD144" s="915"/>
      <c r="BE144" s="916"/>
      <c r="BH144" s="914"/>
      <c r="BI144" s="915"/>
      <c r="BJ144" s="915"/>
      <c r="BK144" s="916"/>
    </row>
    <row r="145" spans="1:63">
      <c r="A145" s="907"/>
      <c r="B145" s="930"/>
      <c r="C145" s="982"/>
      <c r="D145" s="982"/>
      <c r="E145" s="982"/>
      <c r="F145" s="962"/>
      <c r="R145" s="914"/>
      <c r="S145" s="915"/>
      <c r="T145" s="915"/>
      <c r="U145" s="916"/>
      <c r="X145" s="914"/>
      <c r="Y145" s="915"/>
      <c r="Z145" s="915"/>
      <c r="AA145" s="916"/>
      <c r="AC145" s="914"/>
      <c r="AD145" s="915"/>
      <c r="AE145" s="915"/>
      <c r="AF145" s="916"/>
      <c r="AH145" s="914"/>
      <c r="AI145" s="915"/>
      <c r="AJ145" s="915"/>
      <c r="AK145" s="916"/>
      <c r="AM145" s="914"/>
      <c r="AN145" s="915"/>
      <c r="AO145" s="915"/>
      <c r="AP145" s="916"/>
      <c r="AR145" s="914"/>
      <c r="AS145" s="915"/>
      <c r="AT145" s="915"/>
      <c r="AU145" s="916"/>
      <c r="AW145" s="914"/>
      <c r="AX145" s="915"/>
      <c r="AY145" s="915"/>
      <c r="AZ145" s="916"/>
      <c r="BB145" s="914"/>
      <c r="BC145" s="915"/>
      <c r="BD145" s="915"/>
      <c r="BE145" s="916"/>
      <c r="BH145" s="914"/>
      <c r="BI145" s="915"/>
      <c r="BJ145" s="915"/>
      <c r="BK145" s="916"/>
    </row>
    <row r="146" spans="1:63">
      <c r="A146" s="907"/>
      <c r="B146" s="930"/>
      <c r="C146" s="982"/>
      <c r="D146" s="982"/>
      <c r="E146" s="982"/>
      <c r="F146" s="962"/>
      <c r="R146" s="914"/>
      <c r="S146" s="915"/>
      <c r="T146" s="915"/>
      <c r="U146" s="916"/>
      <c r="X146" s="914"/>
      <c r="Y146" s="915"/>
      <c r="Z146" s="915"/>
      <c r="AA146" s="916"/>
      <c r="AC146" s="914"/>
      <c r="AD146" s="915"/>
      <c r="AE146" s="915"/>
      <c r="AF146" s="916"/>
      <c r="AH146" s="914"/>
      <c r="AI146" s="915"/>
      <c r="AJ146" s="915"/>
      <c r="AK146" s="916"/>
      <c r="AM146" s="914"/>
      <c r="AN146" s="915"/>
      <c r="AO146" s="915"/>
      <c r="AP146" s="916"/>
      <c r="AR146" s="914"/>
      <c r="AS146" s="915"/>
      <c r="AT146" s="915"/>
      <c r="AU146" s="916"/>
      <c r="AW146" s="914"/>
      <c r="AX146" s="915"/>
      <c r="AY146" s="915"/>
      <c r="AZ146" s="916"/>
      <c r="BB146" s="914"/>
      <c r="BC146" s="915"/>
      <c r="BD146" s="915"/>
      <c r="BE146" s="916"/>
      <c r="BH146" s="914"/>
      <c r="BI146" s="915"/>
      <c r="BJ146" s="915"/>
      <c r="BK146" s="916"/>
    </row>
    <row r="147" spans="1:63">
      <c r="A147" s="907"/>
      <c r="B147" s="930"/>
      <c r="C147" s="982"/>
      <c r="D147" s="982"/>
      <c r="E147" s="982"/>
      <c r="F147" s="962"/>
      <c r="R147" s="914"/>
      <c r="S147" s="915"/>
      <c r="T147" s="915"/>
      <c r="U147" s="916"/>
      <c r="X147" s="914"/>
      <c r="Y147" s="915"/>
      <c r="Z147" s="915"/>
      <c r="AA147" s="916"/>
      <c r="AC147" s="914"/>
      <c r="AD147" s="915"/>
      <c r="AE147" s="915"/>
      <c r="AF147" s="916"/>
      <c r="AH147" s="914"/>
      <c r="AI147" s="915"/>
      <c r="AJ147" s="915"/>
      <c r="AK147" s="916"/>
      <c r="AM147" s="914"/>
      <c r="AN147" s="915"/>
      <c r="AO147" s="915"/>
      <c r="AP147" s="916"/>
      <c r="AR147" s="914"/>
      <c r="AS147" s="915"/>
      <c r="AT147" s="915"/>
      <c r="AU147" s="916"/>
      <c r="AW147" s="914"/>
      <c r="AX147" s="915"/>
      <c r="AY147" s="915"/>
      <c r="AZ147" s="916"/>
      <c r="BB147" s="914"/>
      <c r="BC147" s="915"/>
      <c r="BD147" s="915"/>
      <c r="BE147" s="916"/>
      <c r="BH147" s="914"/>
      <c r="BI147" s="915"/>
      <c r="BJ147" s="915"/>
      <c r="BK147" s="916"/>
    </row>
    <row r="148" spans="1:63">
      <c r="A148" s="907"/>
      <c r="B148" s="930"/>
      <c r="C148" s="982"/>
      <c r="D148" s="982"/>
      <c r="E148" s="982"/>
      <c r="F148" s="962"/>
      <c r="R148" s="914"/>
      <c r="S148" s="915"/>
      <c r="T148" s="915"/>
      <c r="U148" s="916"/>
      <c r="X148" s="914"/>
      <c r="Y148" s="915"/>
      <c r="Z148" s="915"/>
      <c r="AA148" s="916"/>
      <c r="AC148" s="914"/>
      <c r="AD148" s="915"/>
      <c r="AE148" s="915"/>
      <c r="AF148" s="916"/>
      <c r="AH148" s="914"/>
      <c r="AI148" s="915"/>
      <c r="AJ148" s="915"/>
      <c r="AK148" s="916"/>
      <c r="AM148" s="914"/>
      <c r="AN148" s="915"/>
      <c r="AO148" s="915"/>
      <c r="AP148" s="916"/>
      <c r="AR148" s="914"/>
      <c r="AS148" s="915"/>
      <c r="AT148" s="915"/>
      <c r="AU148" s="916"/>
      <c r="AW148" s="914"/>
      <c r="AX148" s="915"/>
      <c r="AY148" s="915"/>
      <c r="AZ148" s="916"/>
      <c r="BB148" s="914"/>
      <c r="BC148" s="915"/>
      <c r="BD148" s="915"/>
      <c r="BE148" s="916"/>
      <c r="BH148" s="914"/>
      <c r="BI148" s="915"/>
      <c r="BJ148" s="915"/>
      <c r="BK148" s="916"/>
    </row>
    <row r="149" spans="1:63">
      <c r="A149" s="907"/>
      <c r="B149" s="930"/>
      <c r="C149" s="982"/>
      <c r="D149" s="982"/>
      <c r="E149" s="982"/>
      <c r="F149" s="962"/>
      <c r="R149" s="914"/>
      <c r="S149" s="915"/>
      <c r="T149" s="915"/>
      <c r="U149" s="916"/>
      <c r="X149" s="914"/>
      <c r="Y149" s="915"/>
      <c r="Z149" s="915"/>
      <c r="AA149" s="916"/>
      <c r="AC149" s="914"/>
      <c r="AD149" s="915"/>
      <c r="AE149" s="915"/>
      <c r="AF149" s="916"/>
      <c r="AH149" s="914"/>
      <c r="AI149" s="915"/>
      <c r="AJ149" s="915"/>
      <c r="AK149" s="916"/>
      <c r="AM149" s="914"/>
      <c r="AN149" s="915"/>
      <c r="AO149" s="915"/>
      <c r="AP149" s="916"/>
      <c r="AR149" s="914"/>
      <c r="AS149" s="915"/>
      <c r="AT149" s="915"/>
      <c r="AU149" s="916"/>
      <c r="AW149" s="914"/>
      <c r="AX149" s="915"/>
      <c r="AY149" s="915"/>
      <c r="AZ149" s="916"/>
      <c r="BB149" s="914"/>
      <c r="BC149" s="915"/>
      <c r="BD149" s="915"/>
      <c r="BE149" s="916"/>
      <c r="BH149" s="914"/>
      <c r="BI149" s="915"/>
      <c r="BJ149" s="915"/>
      <c r="BK149" s="916"/>
    </row>
    <row r="150" spans="1:63">
      <c r="A150" s="907"/>
      <c r="B150" s="930"/>
      <c r="C150" s="982"/>
      <c r="D150" s="982"/>
      <c r="E150" s="982"/>
      <c r="F150" s="962"/>
      <c r="R150" s="914"/>
      <c r="S150" s="915"/>
      <c r="T150" s="915"/>
      <c r="U150" s="916"/>
      <c r="X150" s="914"/>
      <c r="Y150" s="915"/>
      <c r="Z150" s="915"/>
      <c r="AA150" s="916"/>
      <c r="AC150" s="914"/>
      <c r="AD150" s="915"/>
      <c r="AE150" s="915"/>
      <c r="AF150" s="916"/>
      <c r="AH150" s="914"/>
      <c r="AI150" s="915"/>
      <c r="AJ150" s="915"/>
      <c r="AK150" s="916"/>
      <c r="AM150" s="914"/>
      <c r="AN150" s="915"/>
      <c r="AO150" s="915"/>
      <c r="AP150" s="916"/>
      <c r="AR150" s="914"/>
      <c r="AS150" s="915"/>
      <c r="AT150" s="915"/>
      <c r="AU150" s="916"/>
      <c r="AW150" s="914"/>
      <c r="AX150" s="915"/>
      <c r="AY150" s="915"/>
      <c r="AZ150" s="916"/>
      <c r="BB150" s="914"/>
      <c r="BC150" s="915"/>
      <c r="BD150" s="915"/>
      <c r="BE150" s="916"/>
      <c r="BH150" s="914"/>
      <c r="BI150" s="915"/>
      <c r="BJ150" s="915"/>
      <c r="BK150" s="916"/>
    </row>
    <row r="151" spans="1:63">
      <c r="A151" s="907"/>
      <c r="B151" s="930"/>
      <c r="C151" s="982"/>
      <c r="D151" s="982"/>
      <c r="E151" s="982"/>
      <c r="F151" s="962"/>
      <c r="R151" s="914"/>
      <c r="S151" s="915"/>
      <c r="T151" s="915"/>
      <c r="U151" s="916"/>
      <c r="X151" s="914"/>
      <c r="Y151" s="915"/>
      <c r="Z151" s="915"/>
      <c r="AA151" s="916"/>
      <c r="AC151" s="914"/>
      <c r="AD151" s="915"/>
      <c r="AE151" s="915"/>
      <c r="AF151" s="916"/>
      <c r="AH151" s="914"/>
      <c r="AI151" s="915"/>
      <c r="AJ151" s="915"/>
      <c r="AK151" s="916"/>
      <c r="AM151" s="914"/>
      <c r="AN151" s="915"/>
      <c r="AO151" s="915"/>
      <c r="AP151" s="916"/>
      <c r="AR151" s="914"/>
      <c r="AS151" s="915"/>
      <c r="AT151" s="915"/>
      <c r="AU151" s="916"/>
      <c r="AW151" s="914"/>
      <c r="AX151" s="915"/>
      <c r="AY151" s="915"/>
      <c r="AZ151" s="916"/>
      <c r="BB151" s="914"/>
      <c r="BC151" s="915"/>
      <c r="BD151" s="915"/>
      <c r="BE151" s="916"/>
      <c r="BH151" s="914"/>
      <c r="BI151" s="915"/>
      <c r="BJ151" s="915"/>
      <c r="BK151" s="916"/>
    </row>
    <row r="152" spans="1:63">
      <c r="A152" s="907"/>
      <c r="B152" s="930"/>
      <c r="C152" s="982"/>
      <c r="D152" s="982"/>
      <c r="E152" s="982"/>
      <c r="F152" s="962"/>
      <c r="R152" s="914"/>
      <c r="S152" s="915"/>
      <c r="T152" s="915"/>
      <c r="U152" s="916"/>
      <c r="X152" s="914"/>
      <c r="Y152" s="915"/>
      <c r="Z152" s="915"/>
      <c r="AA152" s="916"/>
      <c r="AC152" s="914"/>
      <c r="AD152" s="915"/>
      <c r="AE152" s="915"/>
      <c r="AF152" s="916"/>
      <c r="AH152" s="914"/>
      <c r="AI152" s="915"/>
      <c r="AJ152" s="915"/>
      <c r="AK152" s="916"/>
      <c r="AM152" s="914"/>
      <c r="AN152" s="915"/>
      <c r="AO152" s="915"/>
      <c r="AP152" s="916"/>
      <c r="AR152" s="914"/>
      <c r="AS152" s="915"/>
      <c r="AT152" s="915"/>
      <c r="AU152" s="916"/>
      <c r="AW152" s="914"/>
      <c r="AX152" s="915"/>
      <c r="AY152" s="915"/>
      <c r="AZ152" s="916"/>
      <c r="BB152" s="914"/>
      <c r="BC152" s="915"/>
      <c r="BD152" s="915"/>
      <c r="BE152" s="916"/>
      <c r="BH152" s="914"/>
      <c r="BI152" s="915"/>
      <c r="BJ152" s="915"/>
      <c r="BK152" s="916"/>
    </row>
    <row r="153" spans="1:63">
      <c r="A153" s="907"/>
      <c r="B153" s="930"/>
      <c r="C153" s="982"/>
      <c r="D153" s="982"/>
      <c r="E153" s="982"/>
      <c r="F153" s="962"/>
      <c r="R153" s="914"/>
      <c r="S153" s="915"/>
      <c r="T153" s="915"/>
      <c r="U153" s="916"/>
      <c r="X153" s="914"/>
      <c r="Y153" s="915"/>
      <c r="Z153" s="915"/>
      <c r="AA153" s="916"/>
      <c r="AC153" s="914"/>
      <c r="AD153" s="915"/>
      <c r="AE153" s="915"/>
      <c r="AF153" s="916"/>
      <c r="AH153" s="914"/>
      <c r="AI153" s="915"/>
      <c r="AJ153" s="915"/>
      <c r="AK153" s="916"/>
      <c r="AM153" s="914"/>
      <c r="AN153" s="915"/>
      <c r="AO153" s="915"/>
      <c r="AP153" s="916"/>
      <c r="AR153" s="914"/>
      <c r="AS153" s="915"/>
      <c r="AT153" s="915"/>
      <c r="AU153" s="916"/>
      <c r="AW153" s="914"/>
      <c r="AX153" s="915"/>
      <c r="AY153" s="915"/>
      <c r="AZ153" s="916"/>
      <c r="BB153" s="914"/>
      <c r="BC153" s="915"/>
      <c r="BD153" s="915"/>
      <c r="BE153" s="916"/>
      <c r="BH153" s="914"/>
      <c r="BI153" s="915"/>
      <c r="BJ153" s="915"/>
      <c r="BK153" s="916"/>
    </row>
    <row r="154" spans="1:63">
      <c r="A154" s="907"/>
      <c r="B154" s="930"/>
      <c r="C154" s="982"/>
      <c r="D154" s="982"/>
      <c r="E154" s="982"/>
      <c r="F154" s="962"/>
      <c r="R154" s="914"/>
      <c r="S154" s="915"/>
      <c r="T154" s="915"/>
      <c r="U154" s="916"/>
      <c r="X154" s="914"/>
      <c r="Y154" s="915"/>
      <c r="Z154" s="915"/>
      <c r="AA154" s="916"/>
      <c r="AC154" s="914"/>
      <c r="AD154" s="915"/>
      <c r="AE154" s="915"/>
      <c r="AF154" s="916"/>
      <c r="AH154" s="914"/>
      <c r="AI154" s="915"/>
      <c r="AJ154" s="915"/>
      <c r="AK154" s="916"/>
      <c r="AM154" s="914"/>
      <c r="AN154" s="915"/>
      <c r="AO154" s="915"/>
      <c r="AP154" s="916"/>
      <c r="AR154" s="914"/>
      <c r="AS154" s="915"/>
      <c r="AT154" s="915"/>
      <c r="AU154" s="916"/>
      <c r="AW154" s="914"/>
      <c r="AX154" s="915"/>
      <c r="AY154" s="915"/>
      <c r="AZ154" s="916"/>
      <c r="BB154" s="914"/>
      <c r="BC154" s="915"/>
      <c r="BD154" s="915"/>
      <c r="BE154" s="916"/>
      <c r="BH154" s="914"/>
      <c r="BI154" s="915"/>
      <c r="BJ154" s="915"/>
      <c r="BK154" s="916"/>
    </row>
    <row r="155" spans="1:63">
      <c r="A155" s="907"/>
      <c r="B155" s="930"/>
      <c r="C155" s="982"/>
      <c r="D155" s="982"/>
      <c r="E155" s="982"/>
      <c r="F155" s="962"/>
      <c r="R155" s="914"/>
      <c r="S155" s="915"/>
      <c r="T155" s="915"/>
      <c r="U155" s="916"/>
      <c r="X155" s="914"/>
      <c r="Y155" s="915"/>
      <c r="Z155" s="915"/>
      <c r="AA155" s="916"/>
      <c r="AC155" s="914"/>
      <c r="AD155" s="915"/>
      <c r="AE155" s="915"/>
      <c r="AF155" s="916"/>
      <c r="AH155" s="914"/>
      <c r="AI155" s="915"/>
      <c r="AJ155" s="915"/>
      <c r="AK155" s="916"/>
      <c r="AM155" s="914"/>
      <c r="AN155" s="915"/>
      <c r="AO155" s="915"/>
      <c r="AP155" s="916"/>
      <c r="AR155" s="914"/>
      <c r="AS155" s="915"/>
      <c r="AT155" s="915"/>
      <c r="AU155" s="916"/>
      <c r="AW155" s="914"/>
      <c r="AX155" s="915"/>
      <c r="AY155" s="915"/>
      <c r="AZ155" s="916"/>
      <c r="BB155" s="914"/>
      <c r="BC155" s="915"/>
      <c r="BD155" s="915"/>
      <c r="BE155" s="916"/>
      <c r="BH155" s="914"/>
      <c r="BI155" s="915"/>
      <c r="BJ155" s="915"/>
      <c r="BK155" s="916"/>
    </row>
    <row r="156" spans="1:63">
      <c r="A156" s="907"/>
      <c r="B156" s="930"/>
      <c r="C156" s="982"/>
      <c r="D156" s="982"/>
      <c r="E156" s="982"/>
      <c r="F156" s="962"/>
      <c r="R156" s="914"/>
      <c r="S156" s="915"/>
      <c r="T156" s="915"/>
      <c r="U156" s="916"/>
      <c r="X156" s="914"/>
      <c r="Y156" s="915"/>
      <c r="Z156" s="915"/>
      <c r="AA156" s="916"/>
      <c r="AC156" s="914"/>
      <c r="AD156" s="915"/>
      <c r="AE156" s="915"/>
      <c r="AF156" s="916"/>
      <c r="AH156" s="914"/>
      <c r="AI156" s="915"/>
      <c r="AJ156" s="915"/>
      <c r="AK156" s="916"/>
      <c r="AM156" s="914"/>
      <c r="AN156" s="915"/>
      <c r="AO156" s="915"/>
      <c r="AP156" s="916"/>
      <c r="AR156" s="914"/>
      <c r="AS156" s="915"/>
      <c r="AT156" s="915"/>
      <c r="AU156" s="916"/>
      <c r="AW156" s="914"/>
      <c r="AX156" s="915"/>
      <c r="AY156" s="915"/>
      <c r="AZ156" s="916"/>
      <c r="BB156" s="914"/>
      <c r="BC156" s="915"/>
      <c r="BD156" s="915"/>
      <c r="BE156" s="916"/>
      <c r="BH156" s="914"/>
      <c r="BI156" s="915"/>
      <c r="BJ156" s="915"/>
      <c r="BK156" s="916"/>
    </row>
    <row r="157" spans="1:63">
      <c r="A157" s="907"/>
      <c r="B157" s="930"/>
      <c r="C157" s="982"/>
      <c r="D157" s="982"/>
      <c r="E157" s="982"/>
      <c r="F157" s="962"/>
      <c r="R157" s="914"/>
      <c r="S157" s="915"/>
      <c r="T157" s="915"/>
      <c r="U157" s="916"/>
      <c r="X157" s="914"/>
      <c r="Y157" s="915"/>
      <c r="Z157" s="915"/>
      <c r="AA157" s="916"/>
      <c r="AC157" s="914"/>
      <c r="AD157" s="915"/>
      <c r="AE157" s="915"/>
      <c r="AF157" s="916"/>
      <c r="AH157" s="914"/>
      <c r="AI157" s="915"/>
      <c r="AJ157" s="915"/>
      <c r="AK157" s="916"/>
      <c r="AM157" s="914"/>
      <c r="AN157" s="915"/>
      <c r="AO157" s="915"/>
      <c r="AP157" s="916"/>
      <c r="AR157" s="914"/>
      <c r="AS157" s="915"/>
      <c r="AT157" s="915"/>
      <c r="AU157" s="916"/>
      <c r="AW157" s="914"/>
      <c r="AX157" s="915"/>
      <c r="AY157" s="915"/>
      <c r="AZ157" s="916"/>
      <c r="BB157" s="914"/>
      <c r="BC157" s="915"/>
      <c r="BD157" s="915"/>
      <c r="BE157" s="916"/>
      <c r="BH157" s="914"/>
      <c r="BI157" s="915"/>
      <c r="BJ157" s="915"/>
      <c r="BK157" s="916"/>
    </row>
    <row r="158" spans="1:63">
      <c r="A158" s="907"/>
      <c r="B158" s="930"/>
      <c r="C158" s="982"/>
      <c r="D158" s="982"/>
      <c r="E158" s="982"/>
      <c r="F158" s="962"/>
      <c r="R158" s="914"/>
      <c r="S158" s="915"/>
      <c r="T158" s="915"/>
      <c r="U158" s="916"/>
      <c r="X158" s="914"/>
      <c r="Y158" s="915"/>
      <c r="Z158" s="915"/>
      <c r="AA158" s="916"/>
      <c r="AC158" s="914"/>
      <c r="AD158" s="915"/>
      <c r="AE158" s="915"/>
      <c r="AF158" s="916"/>
      <c r="AH158" s="914"/>
      <c r="AI158" s="915"/>
      <c r="AJ158" s="915"/>
      <c r="AK158" s="916"/>
      <c r="AM158" s="914"/>
      <c r="AN158" s="915"/>
      <c r="AO158" s="915"/>
      <c r="AP158" s="916"/>
      <c r="AR158" s="914"/>
      <c r="AS158" s="915"/>
      <c r="AT158" s="915"/>
      <c r="AU158" s="916"/>
      <c r="AW158" s="914"/>
      <c r="AX158" s="915"/>
      <c r="AY158" s="915"/>
      <c r="AZ158" s="916"/>
      <c r="BB158" s="914"/>
      <c r="BC158" s="915"/>
      <c r="BD158" s="915"/>
      <c r="BE158" s="916"/>
      <c r="BH158" s="914"/>
      <c r="BI158" s="915"/>
      <c r="BJ158" s="915"/>
      <c r="BK158" s="916"/>
    </row>
    <row r="159" spans="1:63">
      <c r="A159" s="907"/>
      <c r="B159" s="930"/>
      <c r="C159" s="982"/>
      <c r="D159" s="982"/>
      <c r="E159" s="982"/>
      <c r="F159" s="962"/>
      <c r="R159" s="914"/>
      <c r="S159" s="915"/>
      <c r="T159" s="915"/>
      <c r="U159" s="916"/>
      <c r="X159" s="914"/>
      <c r="Y159" s="915"/>
      <c r="Z159" s="915"/>
      <c r="AA159" s="916"/>
      <c r="AC159" s="914"/>
      <c r="AD159" s="915"/>
      <c r="AE159" s="915"/>
      <c r="AF159" s="916"/>
      <c r="AH159" s="914"/>
      <c r="AI159" s="915"/>
      <c r="AJ159" s="915"/>
      <c r="AK159" s="916"/>
      <c r="AM159" s="914"/>
      <c r="AN159" s="915"/>
      <c r="AO159" s="915"/>
      <c r="AP159" s="916"/>
      <c r="AR159" s="914"/>
      <c r="AS159" s="915"/>
      <c r="AT159" s="915"/>
      <c r="AU159" s="916"/>
      <c r="AW159" s="914"/>
      <c r="AX159" s="915"/>
      <c r="AY159" s="915"/>
      <c r="AZ159" s="916"/>
      <c r="BB159" s="914"/>
      <c r="BC159" s="915"/>
      <c r="BD159" s="915"/>
      <c r="BE159" s="916"/>
      <c r="BH159" s="914"/>
      <c r="BI159" s="915"/>
      <c r="BJ159" s="915"/>
      <c r="BK159" s="916"/>
    </row>
    <row r="160" spans="1:63">
      <c r="A160" s="907"/>
      <c r="B160" s="930"/>
      <c r="C160" s="982"/>
      <c r="D160" s="982"/>
      <c r="E160" s="982"/>
      <c r="F160" s="962"/>
      <c r="R160" s="914"/>
      <c r="S160" s="915"/>
      <c r="T160" s="915"/>
      <c r="U160" s="916"/>
      <c r="X160" s="914"/>
      <c r="Y160" s="915"/>
      <c r="Z160" s="915"/>
      <c r="AA160" s="916"/>
      <c r="AC160" s="914"/>
      <c r="AD160" s="915"/>
      <c r="AE160" s="915"/>
      <c r="AF160" s="916"/>
      <c r="AH160" s="914"/>
      <c r="AI160" s="915"/>
      <c r="AJ160" s="915"/>
      <c r="AK160" s="916"/>
      <c r="AM160" s="914"/>
      <c r="AN160" s="915"/>
      <c r="AO160" s="915"/>
      <c r="AP160" s="916"/>
      <c r="AR160" s="914"/>
      <c r="AS160" s="915"/>
      <c r="AT160" s="915"/>
      <c r="AU160" s="916"/>
      <c r="AW160" s="914"/>
      <c r="AX160" s="915"/>
      <c r="AY160" s="915"/>
      <c r="AZ160" s="916"/>
      <c r="BB160" s="914"/>
      <c r="BC160" s="915"/>
      <c r="BD160" s="915"/>
      <c r="BE160" s="916"/>
      <c r="BH160" s="914"/>
      <c r="BI160" s="915"/>
      <c r="BJ160" s="915"/>
      <c r="BK160" s="916"/>
    </row>
    <row r="161" spans="1:63">
      <c r="A161" s="907"/>
      <c r="B161" s="930"/>
      <c r="C161" s="982"/>
      <c r="D161" s="982"/>
      <c r="E161" s="982"/>
      <c r="F161" s="962"/>
      <c r="R161" s="914"/>
      <c r="S161" s="915"/>
      <c r="T161" s="915"/>
      <c r="U161" s="916"/>
      <c r="X161" s="914"/>
      <c r="Y161" s="915"/>
      <c r="Z161" s="915"/>
      <c r="AA161" s="916"/>
      <c r="AC161" s="914"/>
      <c r="AD161" s="915"/>
      <c r="AE161" s="915"/>
      <c r="AF161" s="916"/>
      <c r="AH161" s="914"/>
      <c r="AI161" s="915"/>
      <c r="AJ161" s="915"/>
      <c r="AK161" s="916"/>
      <c r="AM161" s="914"/>
      <c r="AN161" s="915"/>
      <c r="AO161" s="915"/>
      <c r="AP161" s="916"/>
      <c r="AR161" s="914"/>
      <c r="AS161" s="915"/>
      <c r="AT161" s="915"/>
      <c r="AU161" s="916"/>
      <c r="AW161" s="914"/>
      <c r="AX161" s="915"/>
      <c r="AY161" s="915"/>
      <c r="AZ161" s="916"/>
      <c r="BB161" s="914"/>
      <c r="BC161" s="915"/>
      <c r="BD161" s="915"/>
      <c r="BE161" s="916"/>
      <c r="BH161" s="914"/>
      <c r="BI161" s="915"/>
      <c r="BJ161" s="915"/>
      <c r="BK161" s="916"/>
    </row>
    <row r="162" spans="1:63">
      <c r="A162" s="907"/>
      <c r="B162" s="930"/>
      <c r="C162" s="982"/>
      <c r="D162" s="982"/>
      <c r="E162" s="982"/>
      <c r="F162" s="962"/>
      <c r="R162" s="914"/>
      <c r="S162" s="915"/>
      <c r="T162" s="915"/>
      <c r="U162" s="916"/>
      <c r="X162" s="914"/>
      <c r="Y162" s="915"/>
      <c r="Z162" s="915"/>
      <c r="AA162" s="916"/>
      <c r="AC162" s="914"/>
      <c r="AD162" s="915"/>
      <c r="AE162" s="915"/>
      <c r="AF162" s="916"/>
      <c r="AH162" s="914"/>
      <c r="AI162" s="915"/>
      <c r="AJ162" s="915"/>
      <c r="AK162" s="916"/>
      <c r="AM162" s="914"/>
      <c r="AN162" s="915"/>
      <c r="AO162" s="915"/>
      <c r="AP162" s="916"/>
      <c r="AR162" s="914"/>
      <c r="AS162" s="915"/>
      <c r="AT162" s="915"/>
      <c r="AU162" s="916"/>
      <c r="AW162" s="914"/>
      <c r="AX162" s="915"/>
      <c r="AY162" s="915"/>
      <c r="AZ162" s="916"/>
      <c r="BB162" s="914"/>
      <c r="BC162" s="915"/>
      <c r="BD162" s="915"/>
      <c r="BE162" s="916"/>
      <c r="BH162" s="914"/>
      <c r="BI162" s="915"/>
      <c r="BJ162" s="915"/>
      <c r="BK162" s="916"/>
    </row>
    <row r="163" spans="1:63" ht="15" thickBot="1">
      <c r="A163" s="907"/>
      <c r="B163" s="1032"/>
      <c r="C163" s="1033"/>
      <c r="D163" s="1033"/>
      <c r="E163" s="1033"/>
      <c r="F163" s="1034"/>
      <c r="R163" s="1035"/>
      <c r="S163" s="1036"/>
      <c r="T163" s="1036"/>
      <c r="U163" s="1037"/>
      <c r="X163" s="1035"/>
      <c r="Y163" s="1036"/>
      <c r="Z163" s="1036"/>
      <c r="AA163" s="1037"/>
      <c r="AC163" s="1035"/>
      <c r="AD163" s="1036"/>
      <c r="AE163" s="1036"/>
      <c r="AF163" s="1037"/>
      <c r="AH163" s="1035"/>
      <c r="AI163" s="1036"/>
      <c r="AJ163" s="1036"/>
      <c r="AK163" s="1037"/>
      <c r="AM163" s="1035"/>
      <c r="AN163" s="1036"/>
      <c r="AO163" s="1036"/>
      <c r="AP163" s="1037"/>
      <c r="AR163" s="1035"/>
      <c r="AS163" s="1036"/>
      <c r="AT163" s="1036"/>
      <c r="AU163" s="1037"/>
      <c r="AW163" s="1035"/>
      <c r="AX163" s="1036"/>
      <c r="AY163" s="1036"/>
      <c r="AZ163" s="1037"/>
      <c r="BB163" s="1035"/>
      <c r="BC163" s="1036"/>
      <c r="BD163" s="1036"/>
      <c r="BE163" s="1037"/>
      <c r="BH163" s="1035"/>
      <c r="BI163" s="1036"/>
      <c r="BJ163" s="1036"/>
      <c r="BK163" s="1037"/>
    </row>
    <row r="170" spans="1:63">
      <c r="R170" s="1038"/>
      <c r="X170" s="1038"/>
      <c r="AC170" s="1038"/>
      <c r="AH170" s="1038"/>
      <c r="AM170" s="1038"/>
      <c r="AR170" s="1038"/>
      <c r="AW170" s="1038"/>
      <c r="BB170" s="1038"/>
      <c r="BH170" s="1038"/>
    </row>
  </sheetData>
  <mergeCells count="12">
    <mergeCell ref="BJ4:BK4"/>
    <mergeCell ref="Z4:AA4"/>
    <mergeCell ref="AE4:AF4"/>
    <mergeCell ref="G3:G4"/>
    <mergeCell ref="A3:A4"/>
    <mergeCell ref="AO4:AP4"/>
    <mergeCell ref="AT4:AU4"/>
    <mergeCell ref="AY4:AZ4"/>
    <mergeCell ref="BD4:BE4"/>
    <mergeCell ref="AJ4:AK4"/>
    <mergeCell ref="C3:F3"/>
    <mergeCell ref="T4:U4"/>
  </mergeCells>
  <conditionalFormatting sqref="S72:S75 S70 S67 S59:S65 S77:S78 S48:S57 S7:S45 S84:S89">
    <cfRule type="expression" dxfId="106" priority="210">
      <formula>_xlfn.ISFORMULA(S7)</formula>
    </cfRule>
  </conditionalFormatting>
  <conditionalFormatting sqref="D6:D8 D59:D64 D70:D107 D33:D57 D10:D31">
    <cfRule type="expression" dxfId="105" priority="208">
      <formula>_xlfn.ISFORMULA(INDIRECT(OFFSET(F6, 0, $F$2)))</formula>
    </cfRule>
  </conditionalFormatting>
  <conditionalFormatting sqref="E7:E27 E30:E107">
    <cfRule type="expression" dxfId="104" priority="169">
      <formula>NOT(C7="")</formula>
    </cfRule>
  </conditionalFormatting>
  <conditionalFormatting sqref="C59:C65 C67:C107 C6:C57">
    <cfRule type="expression" dxfId="103" priority="168">
      <formula>NOT(C6="")</formula>
    </cfRule>
  </conditionalFormatting>
  <conditionalFormatting sqref="BI72:BI75 BI70 BI67 BI59:BI65 BI77:BI78 BI48:BI57 BI7:BI9 BI84:BI89 BI31:BI45 BI22:BI29 BI13 BI15:BI20">
    <cfRule type="expression" dxfId="102" priority="85">
      <formula>_xlfn.ISFORMULA(BI7)</formula>
    </cfRule>
  </conditionalFormatting>
  <conditionalFormatting sqref="Y72:Y75 Y70 Y67 Y59:Y65 Y77:Y78 Y48:Y57 Y7:Y9 Y84:Y89 Y31:Y32 Y22:Y29 Y13 Y43:Y45 Y15:Y20 Y38:Y41 Y36">
    <cfRule type="expression" dxfId="101" priority="84">
      <formula>_xlfn.ISFORMULA(Y7)</formula>
    </cfRule>
  </conditionalFormatting>
  <conditionalFormatting sqref="AD72:AD75 AD70 AD67 AD59:AD65 AD77:AD78 AD48:AD57 AD7:AD9 AD84:AD89 AD31:AD36 AD22:AD29 AD13 AD43:AD45 AD15:AD20 AD38:AD41">
    <cfRule type="expression" dxfId="100" priority="83">
      <formula>_xlfn.ISFORMULA(AD7)</formula>
    </cfRule>
  </conditionalFormatting>
  <conditionalFormatting sqref="AI72:AI75 AI70 AI67 AI59:AI65 AI77:AI78 AI48:AI57 AI7:AI9 AI84:AI89 AI31:AI32 AI22:AI29 AI13 AI43:AI45 AI15:AI20 AI36:AI41">
    <cfRule type="expression" dxfId="99" priority="82">
      <formula>_xlfn.ISFORMULA(AI7)</formula>
    </cfRule>
  </conditionalFormatting>
  <conditionalFormatting sqref="AN72:AN75 AN70 AN67 AN59:AN65 AN77:AN78 AN48:AN57 AN7:AN9 AN84:AN89 AN31:AN32 AN22:AN29 AN13 AN43:AN45 AN15:AN20 AN38:AN41 AN36">
    <cfRule type="expression" dxfId="98" priority="81">
      <formula>_xlfn.ISFORMULA(AN7)</formula>
    </cfRule>
  </conditionalFormatting>
  <conditionalFormatting sqref="AS70 AS59 AS48:AS57 AS7:AS9 AS84 AS31:AS36 AS22:AS23 AS13 AS43:AS45 AS15 AS38:AS41 AS19:AS20 AS25:AS29 AS64:AS65">
    <cfRule type="expression" dxfId="97" priority="80">
      <formula>_xlfn.ISFORMULA(AS7)</formula>
    </cfRule>
  </conditionalFormatting>
  <conditionalFormatting sqref="AX72:AX75 AX70 AX67 AX59:AX65 AX77:AX78 AX48:AX57 AX7:AX9 AX84:AX89 AX31:AX32 AX22:AX29 AX13 AX43:AX45 AX15:AX20 AX38:AX41 AX36">
    <cfRule type="expression" dxfId="96" priority="79">
      <formula>_xlfn.ISFORMULA(AX7)</formula>
    </cfRule>
  </conditionalFormatting>
  <conditionalFormatting sqref="BC72:BC75 BC70 BC67 BC59:BC65 BC77:BC78 BC48:BC57 BC7:BC13 BC84:BC89 BC22:BC32 BC43:BC45 BC15:BC20 BC38:BC41 BC36">
    <cfRule type="expression" dxfId="95" priority="78">
      <formula>_xlfn.ISFORMULA(BC7)</formula>
    </cfRule>
  </conditionalFormatting>
  <conditionalFormatting sqref="BI30">
    <cfRule type="expression" dxfId="94" priority="75">
      <formula>_xlfn.ISFORMULA(BI30)</formula>
    </cfRule>
  </conditionalFormatting>
  <conditionalFormatting sqref="Y30">
    <cfRule type="expression" dxfId="93" priority="74">
      <formula>_xlfn.ISFORMULA(Y30)</formula>
    </cfRule>
  </conditionalFormatting>
  <conditionalFormatting sqref="AD30">
    <cfRule type="expression" dxfId="92" priority="73">
      <formula>_xlfn.ISFORMULA(AD30)</formula>
    </cfRule>
  </conditionalFormatting>
  <conditionalFormatting sqref="AI30">
    <cfRule type="expression" dxfId="91" priority="72">
      <formula>_xlfn.ISFORMULA(AI30)</formula>
    </cfRule>
  </conditionalFormatting>
  <conditionalFormatting sqref="AN30">
    <cfRule type="expression" dxfId="90" priority="71">
      <formula>_xlfn.ISFORMULA(AN30)</formula>
    </cfRule>
  </conditionalFormatting>
  <conditionalFormatting sqref="AS30">
    <cfRule type="expression" dxfId="89" priority="70">
      <formula>_xlfn.ISFORMULA(AS30)</formula>
    </cfRule>
  </conditionalFormatting>
  <conditionalFormatting sqref="AX30">
    <cfRule type="expression" dxfId="88" priority="69">
      <formula>_xlfn.ISFORMULA(AX30)</formula>
    </cfRule>
  </conditionalFormatting>
  <conditionalFormatting sqref="D65:D69">
    <cfRule type="expression" dxfId="87" priority="68">
      <formula>_xlfn.ISFORMULA(INDIRECT(OFFSET(F65, 0, $F$2)))</formula>
    </cfRule>
  </conditionalFormatting>
  <conditionalFormatting sqref="BI21">
    <cfRule type="expression" dxfId="86" priority="67">
      <formula>_xlfn.ISFORMULA(BI21)</formula>
    </cfRule>
  </conditionalFormatting>
  <conditionalFormatting sqref="Y21">
    <cfRule type="expression" dxfId="85" priority="66">
      <formula>_xlfn.ISFORMULA(Y21)</formula>
    </cfRule>
  </conditionalFormatting>
  <conditionalFormatting sqref="AD21">
    <cfRule type="expression" dxfId="84" priority="65">
      <formula>_xlfn.ISFORMULA(AD21)</formula>
    </cfRule>
  </conditionalFormatting>
  <conditionalFormatting sqref="AI21">
    <cfRule type="expression" dxfId="83" priority="64">
      <formula>_xlfn.ISFORMULA(AI21)</formula>
    </cfRule>
  </conditionalFormatting>
  <conditionalFormatting sqref="AN21">
    <cfRule type="expression" dxfId="82" priority="63">
      <formula>_xlfn.ISFORMULA(AN21)</formula>
    </cfRule>
  </conditionalFormatting>
  <conditionalFormatting sqref="AX10:AX12">
    <cfRule type="expression" dxfId="81" priority="53">
      <formula>_xlfn.ISFORMULA(AX10)</formula>
    </cfRule>
  </conditionalFormatting>
  <conditionalFormatting sqref="AX21">
    <cfRule type="expression" dxfId="80" priority="61">
      <formula>_xlfn.ISFORMULA(AX21)</formula>
    </cfRule>
  </conditionalFormatting>
  <conditionalFormatting sqref="BC21">
    <cfRule type="expression" dxfId="79" priority="60">
      <formula>_xlfn.ISFORMULA(BC21)</formula>
    </cfRule>
  </conditionalFormatting>
  <conditionalFormatting sqref="BI10:BI12">
    <cfRule type="expression" dxfId="78" priority="59">
      <formula>_xlfn.ISFORMULA(BI10)</formula>
    </cfRule>
  </conditionalFormatting>
  <conditionalFormatting sqref="Y10:Y12">
    <cfRule type="expression" dxfId="77" priority="58">
      <formula>_xlfn.ISFORMULA(Y10)</formula>
    </cfRule>
  </conditionalFormatting>
  <conditionalFormatting sqref="AD10:AD12">
    <cfRule type="expression" dxfId="76" priority="57">
      <formula>_xlfn.ISFORMULA(AD10)</formula>
    </cfRule>
  </conditionalFormatting>
  <conditionalFormatting sqref="AI10:AI12">
    <cfRule type="expression" dxfId="75" priority="56">
      <formula>_xlfn.ISFORMULA(AI10)</formula>
    </cfRule>
  </conditionalFormatting>
  <conditionalFormatting sqref="AN10:AN12">
    <cfRule type="expression" dxfId="74" priority="55">
      <formula>_xlfn.ISFORMULA(AN10)</formula>
    </cfRule>
  </conditionalFormatting>
  <conditionalFormatting sqref="AS10:AS12">
    <cfRule type="expression" dxfId="73" priority="54">
      <formula>_xlfn.ISFORMULA(AS10)</formula>
    </cfRule>
  </conditionalFormatting>
  <conditionalFormatting sqref="Y42">
    <cfRule type="expression" dxfId="72" priority="52">
      <formula>_xlfn.ISFORMULA(Y42)</formula>
    </cfRule>
  </conditionalFormatting>
  <conditionalFormatting sqref="AD42">
    <cfRule type="expression" dxfId="71" priority="51">
      <formula>_xlfn.ISFORMULA(AD42)</formula>
    </cfRule>
  </conditionalFormatting>
  <conditionalFormatting sqref="AI42">
    <cfRule type="expression" dxfId="70" priority="50">
      <formula>_xlfn.ISFORMULA(AI42)</formula>
    </cfRule>
  </conditionalFormatting>
  <conditionalFormatting sqref="AN42">
    <cfRule type="expression" dxfId="69" priority="49">
      <formula>_xlfn.ISFORMULA(AN42)</formula>
    </cfRule>
  </conditionalFormatting>
  <conditionalFormatting sqref="AS42">
    <cfRule type="expression" dxfId="68" priority="48">
      <formula>_xlfn.ISFORMULA(AS42)</formula>
    </cfRule>
  </conditionalFormatting>
  <conditionalFormatting sqref="AX42">
    <cfRule type="expression" dxfId="67" priority="47">
      <formula>_xlfn.ISFORMULA(AX42)</formula>
    </cfRule>
  </conditionalFormatting>
  <conditionalFormatting sqref="BC42">
    <cfRule type="expression" dxfId="66" priority="46">
      <formula>_xlfn.ISFORMULA(BC42)</formula>
    </cfRule>
  </conditionalFormatting>
  <conditionalFormatting sqref="BI14">
    <cfRule type="expression" dxfId="65" priority="44">
      <formula>_xlfn.ISFORMULA(BI14)</formula>
    </cfRule>
  </conditionalFormatting>
  <conditionalFormatting sqref="Y14">
    <cfRule type="expression" dxfId="64" priority="43">
      <formula>_xlfn.ISFORMULA(Y14)</formula>
    </cfRule>
  </conditionalFormatting>
  <conditionalFormatting sqref="AD14">
    <cfRule type="expression" dxfId="63" priority="42">
      <formula>_xlfn.ISFORMULA(AD14)</formula>
    </cfRule>
  </conditionalFormatting>
  <conditionalFormatting sqref="AI14">
    <cfRule type="expression" dxfId="62" priority="41">
      <formula>_xlfn.ISFORMULA(AI14)</formula>
    </cfRule>
  </conditionalFormatting>
  <conditionalFormatting sqref="AN14">
    <cfRule type="expression" dxfId="61" priority="40">
      <formula>_xlfn.ISFORMULA(AN14)</formula>
    </cfRule>
  </conditionalFormatting>
  <conditionalFormatting sqref="AX14">
    <cfRule type="expression" dxfId="60" priority="38">
      <formula>_xlfn.ISFORMULA(AX14)</formula>
    </cfRule>
  </conditionalFormatting>
  <conditionalFormatting sqref="BC14">
    <cfRule type="expression" dxfId="59" priority="37">
      <formula>_xlfn.ISFORMULA(BC14)</formula>
    </cfRule>
  </conditionalFormatting>
  <conditionalFormatting sqref="Y37">
    <cfRule type="expression" dxfId="58" priority="35">
      <formula>_xlfn.ISFORMULA(Y37)</formula>
    </cfRule>
  </conditionalFormatting>
  <conditionalFormatting sqref="AD37">
    <cfRule type="expression" dxfId="57" priority="34">
      <formula>_xlfn.ISFORMULA(AD37)</formula>
    </cfRule>
  </conditionalFormatting>
  <conditionalFormatting sqref="AN37">
    <cfRule type="expression" dxfId="56" priority="33">
      <formula>_xlfn.ISFORMULA(AN37)</formula>
    </cfRule>
  </conditionalFormatting>
  <conditionalFormatting sqref="AS37">
    <cfRule type="expression" dxfId="55" priority="32">
      <formula>_xlfn.ISFORMULA(AS37)</formula>
    </cfRule>
  </conditionalFormatting>
  <conditionalFormatting sqref="AX37">
    <cfRule type="expression" dxfId="54" priority="31">
      <formula>_xlfn.ISFORMULA(AX37)</formula>
    </cfRule>
  </conditionalFormatting>
  <conditionalFormatting sqref="BC37">
    <cfRule type="expression" dxfId="53" priority="30">
      <formula>_xlfn.ISFORMULA(BC37)</formula>
    </cfRule>
  </conditionalFormatting>
  <conditionalFormatting sqref="Y33:Y35">
    <cfRule type="expression" dxfId="52" priority="27">
      <formula>_xlfn.ISFORMULA(Y33)</formula>
    </cfRule>
  </conditionalFormatting>
  <conditionalFormatting sqref="AI33:AI35">
    <cfRule type="expression" dxfId="51" priority="26">
      <formula>_xlfn.ISFORMULA(AI33)</formula>
    </cfRule>
  </conditionalFormatting>
  <conditionalFormatting sqref="AN33:AN35">
    <cfRule type="expression" dxfId="50" priority="25">
      <formula>_xlfn.ISFORMULA(AN33)</formula>
    </cfRule>
  </conditionalFormatting>
  <conditionalFormatting sqref="AX33:AX35">
    <cfRule type="expression" dxfId="49" priority="24">
      <formula>_xlfn.ISFORMULA(AX33)</formula>
    </cfRule>
  </conditionalFormatting>
  <conditionalFormatting sqref="BC33:BC35">
    <cfRule type="expression" dxfId="48" priority="23">
      <formula>_xlfn.ISFORMULA(BC33)</formula>
    </cfRule>
  </conditionalFormatting>
  <conditionalFormatting sqref="AS14">
    <cfRule type="expression" dxfId="47" priority="21">
      <formula>_xlfn.ISFORMULA(AS14)</formula>
    </cfRule>
  </conditionalFormatting>
  <conditionalFormatting sqref="AS16:AS18">
    <cfRule type="expression" dxfId="46" priority="20">
      <formula>_xlfn.ISFORMULA(AS16)</formula>
    </cfRule>
  </conditionalFormatting>
  <conditionalFormatting sqref="AS21">
    <cfRule type="expression" dxfId="45" priority="19">
      <formula>_xlfn.ISFORMULA(AS21)</formula>
    </cfRule>
  </conditionalFormatting>
  <conditionalFormatting sqref="AS24">
    <cfRule type="expression" dxfId="44" priority="18">
      <formula>_xlfn.ISFORMULA(AS24)</formula>
    </cfRule>
  </conditionalFormatting>
  <conditionalFormatting sqref="AS60:AS63">
    <cfRule type="expression" dxfId="43" priority="17">
      <formula>_xlfn.ISFORMULA(AS60)</formula>
    </cfRule>
  </conditionalFormatting>
  <conditionalFormatting sqref="AS67">
    <cfRule type="expression" dxfId="42" priority="16">
      <formula>_xlfn.ISFORMULA(AS67)</formula>
    </cfRule>
  </conditionalFormatting>
  <conditionalFormatting sqref="AS72:AS75">
    <cfRule type="expression" dxfId="41" priority="15">
      <formula>_xlfn.ISFORMULA(AS72)</formula>
    </cfRule>
  </conditionalFormatting>
  <conditionalFormatting sqref="AS78">
    <cfRule type="expression" dxfId="40" priority="14">
      <formula>_xlfn.ISFORMULA(AS78)</formula>
    </cfRule>
  </conditionalFormatting>
  <conditionalFormatting sqref="AS85:AS89">
    <cfRule type="expression" dxfId="39" priority="13">
      <formula>_xlfn.ISFORMULA(AS85)</formula>
    </cfRule>
  </conditionalFormatting>
  <conditionalFormatting sqref="AS94:AS97">
    <cfRule type="expression" dxfId="38" priority="12">
      <formula>_xlfn.ISFORMULA(AS94)</formula>
    </cfRule>
  </conditionalFormatting>
  <conditionalFormatting sqref="AS77">
    <cfRule type="expression" dxfId="37" priority="11">
      <formula>_xlfn.ISFORMULA(AS77)</formula>
    </cfRule>
  </conditionalFormatting>
  <conditionalFormatting sqref="D32">
    <cfRule type="expression" dxfId="36" priority="7">
      <formula>NOT(D32="")</formula>
    </cfRule>
  </conditionalFormatting>
  <conditionalFormatting sqref="D9">
    <cfRule type="expression" dxfId="35" priority="6">
      <formula>NOT(D9="")</formula>
    </cfRule>
  </conditionalFormatting>
  <dataValidations count="2">
    <dataValidation type="list" allowBlank="1" showInputMessage="1" showErrorMessage="1" sqref="D28" xr:uid="{00000000-0002-0000-0200-000000000000}">
      <formula1>"Yes, No"</formula1>
    </dataValidation>
    <dataValidation allowBlank="1" showInputMessage="1" showErrorMessage="1" errorTitle="Override Error" error="An override value was found on the Dashboard sheet. Either remove override from the corresponding cell on Dashboard or change the override on Dashboard" sqref="E7:E27 E30:E106" xr:uid="{00000000-0002-0000-0200-000001000000}"/>
  </dataValidations>
  <pageMargins left="0.5" right="0.5" top="0.5" bottom="0.5" header="0.5" footer="0.5"/>
  <pageSetup scale="87" orientation="landscape" verticalDpi="300" r:id="rId1"/>
  <headerFooter alignWithMargins="0">
    <oddFooter>&amp;C &amp;P&amp;R&amp;F, &amp;D</oddFooter>
  </headerFooter>
  <rowBreaks count="1" manualBreakCount="1">
    <brk id="58" min="17" max="30" man="1"/>
  </row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45"/>
  </sheetPr>
  <dimension ref="A1:AR279"/>
  <sheetViews>
    <sheetView zoomScaleNormal="100" workbookViewId="0">
      <pane ySplit="6" topLeftCell="A154" activePane="bottomLeft" state="frozen"/>
      <selection pane="bottomLeft" activeCell="M216" sqref="M216:M217"/>
    </sheetView>
  </sheetViews>
  <sheetFormatPr baseColWidth="10" defaultColWidth="9.1640625" defaultRowHeight="13"/>
  <cols>
    <col min="1" max="1" width="4.33203125" style="853" customWidth="1"/>
    <col min="2" max="2" width="30.83203125" style="853" customWidth="1"/>
    <col min="3" max="3" width="10.6640625" style="853" customWidth="1"/>
    <col min="4" max="4" width="13.1640625" style="853" customWidth="1"/>
    <col min="5" max="5" width="11" style="853" customWidth="1"/>
    <col min="6" max="13" width="10.6640625" style="853" customWidth="1"/>
    <col min="14" max="14" width="13.5" style="171" customWidth="1"/>
    <col min="15" max="15" width="14.5" style="171" customWidth="1"/>
    <col min="16" max="16" width="10.6640625" style="853" customWidth="1"/>
    <col min="17" max="17" width="10.83203125" style="853" customWidth="1"/>
    <col min="18" max="23" width="10.6640625" style="853" customWidth="1"/>
    <col min="24" max="24" width="9.1640625" style="853"/>
    <col min="25" max="25" width="10" style="853" customWidth="1"/>
    <col min="26" max="26" width="9.5" style="853" bestFit="1" customWidth="1"/>
    <col min="27" max="27" width="10.5" style="853" customWidth="1"/>
    <col min="28" max="28" width="9.5" style="853" customWidth="1"/>
    <col min="29" max="16384" width="9.1640625" style="853"/>
  </cols>
  <sheetData>
    <row r="1" spans="2:22" ht="18">
      <c r="B1" s="1277" t="s">
        <v>1421</v>
      </c>
      <c r="C1" s="1277"/>
      <c r="D1" s="1277"/>
      <c r="E1" s="1277"/>
      <c r="F1" s="1277"/>
      <c r="G1" s="1277"/>
      <c r="H1" s="1277"/>
      <c r="I1" s="1277"/>
      <c r="J1" s="1277"/>
      <c r="K1" s="1277"/>
      <c r="L1" s="1277"/>
      <c r="M1" s="1277"/>
      <c r="N1" s="142"/>
      <c r="O1" s="142"/>
    </row>
    <row r="2" spans="2:22" ht="16">
      <c r="B2" s="1278" t="str">
        <f>Chem!C5</f>
        <v>LiFePO4 / Graphite</v>
      </c>
      <c r="C2" s="1278"/>
      <c r="D2" s="1278"/>
      <c r="E2" s="1278"/>
      <c r="F2" s="1278"/>
      <c r="G2" s="1278"/>
      <c r="H2" s="1278"/>
      <c r="I2" s="1278"/>
      <c r="J2" s="1278"/>
      <c r="K2" s="1278"/>
      <c r="L2" s="1278"/>
      <c r="M2" s="1278"/>
      <c r="N2" s="879"/>
      <c r="O2" s="879"/>
    </row>
    <row r="3" spans="2:22" ht="16">
      <c r="B3" s="1280" t="s">
        <v>742</v>
      </c>
      <c r="C3" s="1280"/>
      <c r="D3" s="1280"/>
      <c r="E3" s="1280"/>
      <c r="F3" s="1280"/>
      <c r="G3" s="1280"/>
      <c r="H3" s="1280"/>
      <c r="I3" s="1280"/>
      <c r="J3" s="1280"/>
      <c r="K3" s="1280"/>
      <c r="L3" s="1280"/>
      <c r="M3" s="1280"/>
      <c r="N3" s="879"/>
      <c r="O3" s="879"/>
    </row>
    <row r="4" spans="2:22" ht="16">
      <c r="B4" s="1281" t="s">
        <v>743</v>
      </c>
      <c r="C4" s="1282"/>
      <c r="D4" s="1282"/>
      <c r="E4" s="1283"/>
      <c r="F4" s="603"/>
      <c r="G4" s="1287" t="s">
        <v>744</v>
      </c>
      <c r="H4" s="1288"/>
      <c r="I4" s="1288"/>
      <c r="J4" s="1288"/>
      <c r="K4" s="1288"/>
      <c r="L4" s="1288"/>
      <c r="M4" s="1289"/>
      <c r="N4" s="879"/>
      <c r="O4" s="879"/>
    </row>
    <row r="5" spans="2:22" ht="16">
      <c r="B5" s="1284" t="s">
        <v>745</v>
      </c>
      <c r="C5" s="1285"/>
      <c r="D5" s="1285"/>
      <c r="E5" s="1286"/>
      <c r="F5" s="603"/>
      <c r="G5" s="1290" t="s">
        <v>746</v>
      </c>
      <c r="H5" s="1291"/>
      <c r="I5" s="1291"/>
      <c r="J5" s="1291"/>
      <c r="K5" s="1291"/>
      <c r="L5" s="1291"/>
      <c r="M5" s="1292"/>
      <c r="N5" s="879"/>
      <c r="O5" s="879"/>
    </row>
    <row r="6" spans="2:22" ht="16">
      <c r="C6" s="26"/>
      <c r="D6" s="26"/>
      <c r="E6" s="26"/>
      <c r="F6" s="26"/>
      <c r="G6" s="882" t="s">
        <v>0</v>
      </c>
      <c r="H6" s="882" t="s">
        <v>1</v>
      </c>
      <c r="I6" s="882" t="s">
        <v>2</v>
      </c>
      <c r="J6" s="882" t="s">
        <v>3</v>
      </c>
      <c r="K6" s="882" t="s">
        <v>4</v>
      </c>
      <c r="L6" s="882" t="s">
        <v>530</v>
      </c>
      <c r="M6" s="882" t="s">
        <v>531</v>
      </c>
      <c r="N6" s="314"/>
    </row>
    <row r="7" spans="2:22" ht="16">
      <c r="B7" s="881" t="s">
        <v>535</v>
      </c>
      <c r="C7" s="26"/>
      <c r="D7" s="26"/>
      <c r="E7" s="26"/>
      <c r="F7" s="26"/>
      <c r="G7" s="880"/>
      <c r="H7" s="880"/>
      <c r="I7" s="880"/>
      <c r="J7" s="880"/>
      <c r="K7" s="169"/>
      <c r="L7" s="880"/>
      <c r="M7" s="169"/>
      <c r="N7" s="361"/>
      <c r="O7" s="150"/>
      <c r="R7" s="877"/>
    </row>
    <row r="8" spans="2:22" ht="14">
      <c r="B8" s="208" t="s">
        <v>15</v>
      </c>
      <c r="C8" s="19"/>
      <c r="D8" s="877"/>
      <c r="E8" s="1057" t="s">
        <v>8</v>
      </c>
      <c r="F8" s="324" t="s">
        <v>7</v>
      </c>
      <c r="N8" s="96"/>
      <c r="P8" s="17"/>
      <c r="Q8" s="375"/>
      <c r="R8" s="375"/>
      <c r="S8" s="375"/>
      <c r="T8" s="375"/>
      <c r="U8" s="375"/>
      <c r="V8" s="17"/>
    </row>
    <row r="9" spans="2:22">
      <c r="B9" s="36" t="s">
        <v>1267</v>
      </c>
      <c r="C9" s="9"/>
      <c r="D9" s="9"/>
      <c r="E9" s="1055">
        <f>Chem!C10</f>
        <v>96</v>
      </c>
      <c r="F9" s="1055">
        <f>Chem!C16</f>
        <v>3.45</v>
      </c>
      <c r="G9" s="302">
        <f t="shared" ref="G9:M9" ca="1" si="0">G82/G40*1000</f>
        <v>515.67057398277734</v>
      </c>
      <c r="H9" s="302">
        <f t="shared" ca="1" si="0"/>
        <v>515.67057398277734</v>
      </c>
      <c r="I9" s="302">
        <f t="shared" ca="1" si="0"/>
        <v>515.67057398277734</v>
      </c>
      <c r="J9" s="302">
        <f t="shared" ca="1" si="0"/>
        <v>515.67057398277734</v>
      </c>
      <c r="K9" s="302">
        <f t="shared" ca="1" si="0"/>
        <v>515.67057398277734</v>
      </c>
      <c r="L9" s="302">
        <f t="shared" ca="1" si="0"/>
        <v>515.67057398277734</v>
      </c>
      <c r="M9" s="302">
        <f t="shared" ca="1" si="0"/>
        <v>515.67057398277734</v>
      </c>
      <c r="N9" s="1058"/>
      <c r="O9" s="96"/>
      <c r="T9" s="20"/>
      <c r="U9" s="25"/>
      <c r="V9" s="25"/>
    </row>
    <row r="10" spans="2:22">
      <c r="B10" s="36" t="s">
        <v>1266</v>
      </c>
      <c r="C10" s="27"/>
      <c r="D10" s="171"/>
      <c r="E10" s="1055">
        <f>Chem!C11</f>
        <v>2</v>
      </c>
      <c r="F10" s="1055">
        <f>Chem!C17</f>
        <v>1.825</v>
      </c>
      <c r="G10" s="331">
        <f t="shared" ref="G10:M12" ca="1" si="1">G$13*$E10/100</f>
        <v>10.743136957974528</v>
      </c>
      <c r="H10" s="331">
        <f t="shared" ca="1" si="1"/>
        <v>10.743136957974528</v>
      </c>
      <c r="I10" s="331">
        <f t="shared" ca="1" si="1"/>
        <v>10.743136957974528</v>
      </c>
      <c r="J10" s="331">
        <f t="shared" ca="1" si="1"/>
        <v>10.743136957974528</v>
      </c>
      <c r="K10" s="331">
        <f t="shared" ca="1" si="1"/>
        <v>10.743136957974528</v>
      </c>
      <c r="L10" s="331">
        <f t="shared" ca="1" si="1"/>
        <v>10.743136957974528</v>
      </c>
      <c r="M10" s="331">
        <f t="shared" ca="1" si="1"/>
        <v>10.743136957974528</v>
      </c>
      <c r="N10" s="1059"/>
      <c r="O10" s="96"/>
      <c r="T10" s="20"/>
      <c r="U10" s="375"/>
      <c r="V10" s="25"/>
    </row>
    <row r="11" spans="2:22">
      <c r="B11" s="877" t="s">
        <v>1268</v>
      </c>
      <c r="C11" s="877"/>
      <c r="D11" s="877"/>
      <c r="E11" s="1055">
        <f>Chem!C12</f>
        <v>2</v>
      </c>
      <c r="F11" s="1055">
        <f>Chem!C18</f>
        <v>1.77</v>
      </c>
      <c r="G11" s="331">
        <f t="shared" ca="1" si="1"/>
        <v>10.743136957974528</v>
      </c>
      <c r="H11" s="331">
        <f t="shared" ca="1" si="1"/>
        <v>10.743136957974528</v>
      </c>
      <c r="I11" s="331">
        <f t="shared" ca="1" si="1"/>
        <v>10.743136957974528</v>
      </c>
      <c r="J11" s="331">
        <f t="shared" ca="1" si="1"/>
        <v>10.743136957974528</v>
      </c>
      <c r="K11" s="331">
        <f t="shared" ca="1" si="1"/>
        <v>10.743136957974528</v>
      </c>
      <c r="L11" s="331">
        <f t="shared" ca="1" si="1"/>
        <v>10.743136957974528</v>
      </c>
      <c r="M11" s="331">
        <f t="shared" ca="1" si="1"/>
        <v>10.743136957974528</v>
      </c>
      <c r="N11" s="1059"/>
      <c r="O11" s="96"/>
      <c r="T11" s="20"/>
      <c r="U11" s="375"/>
      <c r="V11" s="25"/>
    </row>
    <row r="12" spans="2:22">
      <c r="B12" s="877" t="s">
        <v>1269</v>
      </c>
      <c r="C12" s="1060" t="s">
        <v>9</v>
      </c>
      <c r="D12" s="1061">
        <f>Chem!C14</f>
        <v>25</v>
      </c>
      <c r="E12" s="24"/>
      <c r="F12" s="24"/>
      <c r="G12" s="1062">
        <f t="shared" ca="1" si="1"/>
        <v>0</v>
      </c>
      <c r="H12" s="1062">
        <f t="shared" ca="1" si="1"/>
        <v>0</v>
      </c>
      <c r="I12" s="1062">
        <f t="shared" ca="1" si="1"/>
        <v>0</v>
      </c>
      <c r="J12" s="1062">
        <f t="shared" ca="1" si="1"/>
        <v>0</v>
      </c>
      <c r="K12" s="1062">
        <f t="shared" ca="1" si="1"/>
        <v>0</v>
      </c>
      <c r="L12" s="1062">
        <f t="shared" ca="1" si="1"/>
        <v>0</v>
      </c>
      <c r="M12" s="1062">
        <f t="shared" ca="1" si="1"/>
        <v>0</v>
      </c>
      <c r="N12" s="1059"/>
      <c r="O12" s="96"/>
      <c r="T12" s="20"/>
      <c r="U12" s="375"/>
      <c r="V12" s="25"/>
    </row>
    <row r="13" spans="2:22">
      <c r="B13" s="877" t="s">
        <v>1270</v>
      </c>
      <c r="C13" s="877"/>
      <c r="D13" s="877"/>
      <c r="E13" s="324">
        <f>SUM(E9:E12)</f>
        <v>100</v>
      </c>
      <c r="F13" s="195">
        <f>(100-D12)/(E9/F9+E10/F10+E11/F11)</f>
        <v>2.4956807361391662</v>
      </c>
      <c r="G13" s="1063">
        <f t="shared" ref="G13" ca="1" si="2">G9/$E9*100</f>
        <v>537.15684789872637</v>
      </c>
      <c r="H13" s="1063">
        <f t="shared" ref="H13:M13" ca="1" si="3">H9/$E9*100</f>
        <v>537.15684789872637</v>
      </c>
      <c r="I13" s="1063">
        <f t="shared" ca="1" si="3"/>
        <v>537.15684789872637</v>
      </c>
      <c r="J13" s="1063">
        <f t="shared" ca="1" si="3"/>
        <v>537.15684789872637</v>
      </c>
      <c r="K13" s="1063">
        <f t="shared" ca="1" si="3"/>
        <v>537.15684789872637</v>
      </c>
      <c r="L13" s="1063">
        <f t="shared" ca="1" si="3"/>
        <v>537.15684789872637</v>
      </c>
      <c r="M13" s="1063">
        <f t="shared" ca="1" si="3"/>
        <v>537.15684789872637</v>
      </c>
      <c r="N13" s="1064"/>
      <c r="O13" s="96"/>
      <c r="T13" s="20"/>
      <c r="U13" s="375"/>
      <c r="V13" s="25"/>
    </row>
    <row r="14" spans="2:22" ht="14">
      <c r="B14" s="209" t="s">
        <v>133</v>
      </c>
      <c r="C14" s="17"/>
      <c r="D14" s="17"/>
      <c r="E14" s="375" t="s">
        <v>8</v>
      </c>
      <c r="F14" s="375" t="s">
        <v>7</v>
      </c>
      <c r="G14" s="19"/>
      <c r="H14" s="19"/>
      <c r="I14" s="19"/>
      <c r="J14" s="19"/>
      <c r="K14" s="19"/>
      <c r="L14" s="19"/>
      <c r="M14" s="19"/>
      <c r="N14" s="94"/>
      <c r="O14" s="96"/>
      <c r="T14" s="20"/>
      <c r="U14" s="25"/>
      <c r="V14" s="25"/>
    </row>
    <row r="15" spans="2:22">
      <c r="B15" s="36" t="s">
        <v>1086</v>
      </c>
      <c r="C15" s="17"/>
      <c r="D15" s="17"/>
      <c r="E15" s="471">
        <f>Chem!C33</f>
        <v>100</v>
      </c>
      <c r="F15" s="470">
        <f>Chem!C39</f>
        <v>0.53400000000000003</v>
      </c>
      <c r="G15" s="31">
        <f t="shared" ref="G15:M15" ca="1" si="4">G82/G42*1000*G44*(1+G49/100)</f>
        <v>25.274436621450381</v>
      </c>
      <c r="H15" s="31">
        <f t="shared" ca="1" si="4"/>
        <v>25.274436621450381</v>
      </c>
      <c r="I15" s="31">
        <f t="shared" ca="1" si="4"/>
        <v>25.274436621450381</v>
      </c>
      <c r="J15" s="31">
        <f t="shared" ca="1" si="4"/>
        <v>25.274436621450381</v>
      </c>
      <c r="K15" s="31">
        <f t="shared" ca="1" si="4"/>
        <v>25.274436621450381</v>
      </c>
      <c r="L15" s="31">
        <f t="shared" ca="1" si="4"/>
        <v>25.274436621450381</v>
      </c>
      <c r="M15" s="31">
        <f t="shared" ca="1" si="4"/>
        <v>25.274436621450381</v>
      </c>
      <c r="N15" s="261"/>
      <c r="O15" s="96"/>
      <c r="T15" s="17"/>
      <c r="U15" s="17"/>
      <c r="V15" s="17"/>
    </row>
    <row r="16" spans="2:22">
      <c r="B16" s="36" t="s">
        <v>1271</v>
      </c>
      <c r="C16" s="17"/>
      <c r="D16" s="17"/>
      <c r="E16" s="471">
        <f>Chem!C34</f>
        <v>0</v>
      </c>
      <c r="F16" s="470">
        <f>Chem!C40</f>
        <v>1.95</v>
      </c>
      <c r="G16" s="835">
        <f t="shared" ref="G16:M18" ca="1" si="5">G$19*$E16/100</f>
        <v>0</v>
      </c>
      <c r="H16" s="835">
        <f t="shared" ca="1" si="5"/>
        <v>0</v>
      </c>
      <c r="I16" s="835">
        <f t="shared" ca="1" si="5"/>
        <v>0</v>
      </c>
      <c r="J16" s="835">
        <f t="shared" ca="1" si="5"/>
        <v>0</v>
      </c>
      <c r="K16" s="835">
        <f t="shared" ca="1" si="5"/>
        <v>0</v>
      </c>
      <c r="L16" s="835">
        <f t="shared" ca="1" si="5"/>
        <v>0</v>
      </c>
      <c r="M16" s="835">
        <f t="shared" ca="1" si="5"/>
        <v>0</v>
      </c>
      <c r="N16" s="262"/>
      <c r="O16" s="96"/>
      <c r="T16" s="20"/>
      <c r="U16" s="25"/>
      <c r="V16" s="17"/>
    </row>
    <row r="17" spans="2:22">
      <c r="B17" s="877" t="s">
        <v>1272</v>
      </c>
      <c r="C17" s="17"/>
      <c r="D17" s="17"/>
      <c r="E17" s="471">
        <f>Chem!C35</f>
        <v>0</v>
      </c>
      <c r="F17" s="470">
        <f>Chem!C41</f>
        <v>1.1000000000000001</v>
      </c>
      <c r="G17" s="835">
        <f t="shared" ca="1" si="5"/>
        <v>0</v>
      </c>
      <c r="H17" s="835">
        <f t="shared" ca="1" si="5"/>
        <v>0</v>
      </c>
      <c r="I17" s="835">
        <f t="shared" ca="1" si="5"/>
        <v>0</v>
      </c>
      <c r="J17" s="835">
        <f t="shared" ca="1" si="5"/>
        <v>0</v>
      </c>
      <c r="K17" s="835">
        <f t="shared" ca="1" si="5"/>
        <v>0</v>
      </c>
      <c r="L17" s="835">
        <f t="shared" ca="1" si="5"/>
        <v>0</v>
      </c>
      <c r="M17" s="835">
        <f t="shared" ca="1" si="5"/>
        <v>0</v>
      </c>
      <c r="N17" s="262"/>
      <c r="O17" s="96"/>
      <c r="T17" s="20"/>
      <c r="U17" s="17"/>
      <c r="V17" s="17"/>
    </row>
    <row r="18" spans="2:22">
      <c r="B18" s="877" t="s">
        <v>1273</v>
      </c>
      <c r="C18" s="22" t="s">
        <v>9</v>
      </c>
      <c r="D18" s="469">
        <f>Chem!C37</f>
        <v>34</v>
      </c>
      <c r="E18" s="23"/>
      <c r="F18" s="24"/>
      <c r="G18" s="836">
        <f t="shared" ca="1" si="5"/>
        <v>0</v>
      </c>
      <c r="H18" s="836">
        <f t="shared" ca="1" si="5"/>
        <v>0</v>
      </c>
      <c r="I18" s="836">
        <f t="shared" ca="1" si="5"/>
        <v>0</v>
      </c>
      <c r="J18" s="836">
        <f t="shared" ca="1" si="5"/>
        <v>0</v>
      </c>
      <c r="K18" s="836">
        <f t="shared" ca="1" si="5"/>
        <v>0</v>
      </c>
      <c r="L18" s="836">
        <f t="shared" ca="1" si="5"/>
        <v>0</v>
      </c>
      <c r="M18" s="836">
        <f t="shared" ca="1" si="5"/>
        <v>0</v>
      </c>
      <c r="N18" s="262"/>
      <c r="O18" s="96"/>
      <c r="T18" s="20"/>
      <c r="U18" s="17"/>
      <c r="V18" s="17"/>
    </row>
    <row r="19" spans="2:22">
      <c r="B19" s="877" t="s">
        <v>1274</v>
      </c>
      <c r="C19" s="17"/>
      <c r="D19" s="17"/>
      <c r="E19" s="21">
        <f>SUM(E15:E18)</f>
        <v>100</v>
      </c>
      <c r="F19" s="20">
        <f>(100-D18)/(E15/F15+E17/F17+E16/F16)</f>
        <v>0.35244000000000003</v>
      </c>
      <c r="G19" s="835">
        <f t="shared" ref="G19" ca="1" si="6">G15/$E15*100</f>
        <v>25.274436621450381</v>
      </c>
      <c r="H19" s="835">
        <f t="shared" ref="H19:M19" ca="1" si="7">H15/$E15*100</f>
        <v>25.274436621450381</v>
      </c>
      <c r="I19" s="835">
        <f t="shared" ca="1" si="7"/>
        <v>25.274436621450381</v>
      </c>
      <c r="J19" s="835">
        <f t="shared" ca="1" si="7"/>
        <v>25.274436621450381</v>
      </c>
      <c r="K19" s="835">
        <f t="shared" ca="1" si="7"/>
        <v>25.274436621450381</v>
      </c>
      <c r="L19" s="835">
        <f t="shared" ca="1" si="7"/>
        <v>25.274436621450381</v>
      </c>
      <c r="M19" s="835">
        <f t="shared" ca="1" si="7"/>
        <v>25.274436621450381</v>
      </c>
      <c r="N19" s="262"/>
      <c r="O19" s="96"/>
      <c r="T19" s="20"/>
      <c r="U19" s="17"/>
      <c r="V19" s="17"/>
    </row>
    <row r="20" spans="2:22" ht="14">
      <c r="B20" s="209" t="s">
        <v>23</v>
      </c>
      <c r="C20" s="208"/>
      <c r="D20" s="33"/>
      <c r="E20" s="21" t="s">
        <v>1361</v>
      </c>
      <c r="F20" s="20" t="s">
        <v>7</v>
      </c>
      <c r="G20" s="835"/>
      <c r="H20" s="835"/>
      <c r="I20" s="835"/>
      <c r="J20" s="835"/>
      <c r="K20" s="835"/>
      <c r="L20" s="835"/>
      <c r="M20" s="835"/>
      <c r="N20" s="262"/>
      <c r="O20" s="96"/>
    </row>
    <row r="21" spans="2:22" ht="15">
      <c r="B21" s="19" t="s">
        <v>1087</v>
      </c>
      <c r="C21" s="17"/>
      <c r="D21" s="469" t="str">
        <f>IF(Chem!C23="aluminum","Al","Cu")</f>
        <v>Al</v>
      </c>
      <c r="E21" s="1055">
        <f>Chem!C24</f>
        <v>15</v>
      </c>
      <c r="F21" s="470">
        <f>IF(D21="Al",_rho_Al,_rho_Cu)</f>
        <v>2.7</v>
      </c>
      <c r="G21" s="837">
        <f t="shared" ref="G21" ca="1" si="8">G114*G115*(G116+G117)/1000000</f>
        <v>1.0051438779069131</v>
      </c>
      <c r="H21" s="837">
        <f t="shared" ref="H21:M21" ca="1" si="9">H114*H115*(H116+H117)/1000000</f>
        <v>1.0051438779069131</v>
      </c>
      <c r="I21" s="837">
        <f t="shared" ca="1" si="9"/>
        <v>1.0051438779069131</v>
      </c>
      <c r="J21" s="837">
        <f t="shared" ca="1" si="9"/>
        <v>1.0051438779069131</v>
      </c>
      <c r="K21" s="837">
        <f t="shared" ca="1" si="9"/>
        <v>1.0051438779069131</v>
      </c>
      <c r="L21" s="837">
        <f t="shared" ca="1" si="9"/>
        <v>1.0051438779069131</v>
      </c>
      <c r="M21" s="837">
        <f t="shared" ca="1" si="9"/>
        <v>1.0051438779069131</v>
      </c>
      <c r="N21" s="263"/>
      <c r="O21" s="96"/>
    </row>
    <row r="22" spans="2:22" ht="15">
      <c r="B22" s="19" t="s">
        <v>1088</v>
      </c>
      <c r="C22" s="17"/>
      <c r="D22" s="469" t="str">
        <f>IF(Chem!C44="aluminum","Al","Cu")</f>
        <v>Cu</v>
      </c>
      <c r="E22" s="1055">
        <f>Chem!C45</f>
        <v>10</v>
      </c>
      <c r="F22" s="470">
        <f>IF(D22="Al",_rho_Al,_rho_Cu)</f>
        <v>8.9600000000000009</v>
      </c>
      <c r="G22" s="837">
        <f t="shared" ref="G22" ca="1" si="10">(G114+1)*(G115+2)*(G116+G117+2)/1000000</f>
        <v>1.0598558212359293</v>
      </c>
      <c r="H22" s="837">
        <f t="shared" ref="H22:M22" ca="1" si="11">(H114+1)*(H115+2)*(H116+H117+2)/1000000</f>
        <v>1.0598558212359293</v>
      </c>
      <c r="I22" s="837">
        <f t="shared" ca="1" si="11"/>
        <v>1.0598558212359293</v>
      </c>
      <c r="J22" s="837">
        <f t="shared" ca="1" si="11"/>
        <v>1.0598558212359293</v>
      </c>
      <c r="K22" s="837">
        <f t="shared" ca="1" si="11"/>
        <v>1.0598558212359293</v>
      </c>
      <c r="L22" s="837">
        <f t="shared" ca="1" si="11"/>
        <v>1.0598558212359293</v>
      </c>
      <c r="M22" s="837">
        <f t="shared" ca="1" si="11"/>
        <v>1.0598558212359293</v>
      </c>
      <c r="N22" s="263"/>
      <c r="O22" s="96"/>
    </row>
    <row r="23" spans="2:22" ht="15">
      <c r="B23" s="19" t="s">
        <v>1089</v>
      </c>
      <c r="C23" s="17"/>
      <c r="D23" s="17"/>
      <c r="E23" s="471">
        <f>Chem!C49</f>
        <v>20</v>
      </c>
      <c r="F23" s="472">
        <f>Chem!C51</f>
        <v>5.0999999999999996</v>
      </c>
      <c r="G23" s="837">
        <f t="shared" ref="G23" ca="1" si="12">(G115+4)*(G116+6)*2*G114/1000000</f>
        <v>1.9352144931541229</v>
      </c>
      <c r="H23" s="837">
        <f t="shared" ref="H23:M23" ca="1" si="13">(H115+4)*(H116+6)*2*H114/1000000</f>
        <v>1.9352144931541229</v>
      </c>
      <c r="I23" s="837">
        <f t="shared" ca="1" si="13"/>
        <v>1.9352144931541229</v>
      </c>
      <c r="J23" s="837">
        <f t="shared" ca="1" si="13"/>
        <v>1.9352144931541229</v>
      </c>
      <c r="K23" s="837">
        <f t="shared" ca="1" si="13"/>
        <v>1.9352144931541229</v>
      </c>
      <c r="L23" s="837">
        <f t="shared" ca="1" si="13"/>
        <v>1.9352144931541229</v>
      </c>
      <c r="M23" s="837">
        <f t="shared" ca="1" si="13"/>
        <v>1.9352144931541229</v>
      </c>
      <c r="N23" s="263"/>
      <c r="O23" s="96"/>
    </row>
    <row r="24" spans="2:22">
      <c r="B24" s="853" t="s">
        <v>1090</v>
      </c>
      <c r="C24" s="17"/>
      <c r="D24" s="17"/>
      <c r="E24" s="471"/>
      <c r="F24" s="470">
        <f>Chem!C54</f>
        <v>1.2</v>
      </c>
      <c r="G24" s="838">
        <f ca="1">(G13/$F13*$D12/100+G19/$F19*$D18/100+G23*$E23*Chem!$C50/100+G35*G115*G116/1000*0.02)/1000</f>
        <v>8.6919082220135141E-2</v>
      </c>
      <c r="H24" s="838">
        <f ca="1">(H13/$F13*$D12/100+H19/$F19*$D18/100+H23*$E23*Chem!$C50/100+H35*H115*H116/1000*0.02)/1000</f>
        <v>8.6919082220135141E-2</v>
      </c>
      <c r="I24" s="838">
        <f ca="1">(I13/$F13*$D12/100+I19/$F19*$D18/100+I23*$E23*Chem!$C50/100+I35*I115*I116/1000*0.02)/1000</f>
        <v>8.6919082220135141E-2</v>
      </c>
      <c r="J24" s="838">
        <f ca="1">(J13/$F13*$D12/100+J19/$F19*$D18/100+J23*$E23*Chem!$C50/100+J35*J115*J116/1000*0.02)/1000</f>
        <v>8.6919082220135141E-2</v>
      </c>
      <c r="K24" s="838">
        <f ca="1">(K13/$F13*$D12/100+K19/$F19*$D18/100+K23*$E23*Chem!$C50/100+K35*K115*K116/1000*0.02)/1000</f>
        <v>8.6919082220135141E-2</v>
      </c>
      <c r="L24" s="838">
        <f ca="1">(L13/$F13*$D12/100+L19/$F19*$D18/100+L23*$E23*Chem!$C50/100+L35*L115*L116/1000*0.02)/1000</f>
        <v>8.6919082220135141E-2</v>
      </c>
      <c r="M24" s="838">
        <f ca="1">(M13/$F13*$D12/100+M19/$F19*$D18/100+M23*$E23*Chem!$C50/100+M35*M115*M116/1000*0.02)/1000</f>
        <v>8.6919082220135141E-2</v>
      </c>
      <c r="N24" s="264"/>
      <c r="O24" s="96"/>
    </row>
    <row r="25" spans="2:22">
      <c r="B25" s="17" t="s">
        <v>1091</v>
      </c>
      <c r="C25" s="17"/>
      <c r="D25" s="17"/>
      <c r="E25" s="129"/>
      <c r="F25" s="76"/>
      <c r="G25" s="839">
        <f t="shared" ref="G25:M25" ca="1" si="14">$F21*(G119*G37*G118)/1000</f>
        <v>9.3645910758707203</v>
      </c>
      <c r="H25" s="839">
        <f t="shared" ca="1" si="14"/>
        <v>9.3645910758707203</v>
      </c>
      <c r="I25" s="839">
        <f t="shared" ca="1" si="14"/>
        <v>9.3645910758707203</v>
      </c>
      <c r="J25" s="839">
        <f t="shared" ca="1" si="14"/>
        <v>9.3645910758707203</v>
      </c>
      <c r="K25" s="839">
        <f t="shared" ca="1" si="14"/>
        <v>9.3645910758707203</v>
      </c>
      <c r="L25" s="839">
        <f t="shared" ca="1" si="14"/>
        <v>9.3645910758707203</v>
      </c>
      <c r="M25" s="839">
        <f t="shared" ca="1" si="14"/>
        <v>9.3645910758707203</v>
      </c>
      <c r="N25" s="265"/>
      <c r="O25" s="96"/>
    </row>
    <row r="26" spans="2:22">
      <c r="B26" s="17" t="s">
        <v>1092</v>
      </c>
      <c r="C26" s="17"/>
      <c r="D26" s="17"/>
      <c r="E26" s="98"/>
      <c r="F26" s="76"/>
      <c r="G26" s="839">
        <f t="shared" ref="G26:M26" ca="1" si="15">$F22*(G119*G37*G118)/1000</f>
        <v>31.076568903630243</v>
      </c>
      <c r="H26" s="839">
        <f t="shared" ca="1" si="15"/>
        <v>31.076568903630243</v>
      </c>
      <c r="I26" s="839">
        <f t="shared" ca="1" si="15"/>
        <v>31.076568903630243</v>
      </c>
      <c r="J26" s="839">
        <f t="shared" ca="1" si="15"/>
        <v>31.076568903630243</v>
      </c>
      <c r="K26" s="839">
        <f t="shared" ca="1" si="15"/>
        <v>31.076568903630243</v>
      </c>
      <c r="L26" s="839">
        <f t="shared" ca="1" si="15"/>
        <v>31.076568903630243</v>
      </c>
      <c r="M26" s="839">
        <f t="shared" ca="1" si="15"/>
        <v>31.076568903630243</v>
      </c>
      <c r="N26" s="265"/>
      <c r="O26" s="96"/>
    </row>
    <row r="27" spans="2:22">
      <c r="B27" s="96" t="s">
        <v>315</v>
      </c>
      <c r="C27" s="17"/>
      <c r="D27" s="17"/>
      <c r="E27" s="98"/>
      <c r="F27" s="76"/>
      <c r="G27" s="840">
        <f>100</f>
        <v>100</v>
      </c>
      <c r="H27" s="840">
        <f>100</f>
        <v>100</v>
      </c>
      <c r="I27" s="840">
        <f>100</f>
        <v>100</v>
      </c>
      <c r="J27" s="840">
        <f>100</f>
        <v>100</v>
      </c>
      <c r="K27" s="840">
        <f>100</f>
        <v>100</v>
      </c>
      <c r="L27" s="840">
        <f>100</f>
        <v>100</v>
      </c>
      <c r="M27" s="840">
        <f>100</f>
        <v>100</v>
      </c>
      <c r="N27" s="129"/>
      <c r="O27" s="96"/>
    </row>
    <row r="28" spans="2:22">
      <c r="B28" s="96" t="s">
        <v>316</v>
      </c>
      <c r="C28" s="17"/>
      <c r="D28" s="17"/>
      <c r="E28" s="98"/>
      <c r="F28" s="76"/>
      <c r="G28" s="841">
        <f t="shared" ref="G28:M28" si="16">30+G27+20</f>
        <v>150</v>
      </c>
      <c r="H28" s="841">
        <f t="shared" si="16"/>
        <v>150</v>
      </c>
      <c r="I28" s="841">
        <f t="shared" si="16"/>
        <v>150</v>
      </c>
      <c r="J28" s="841">
        <f t="shared" si="16"/>
        <v>150</v>
      </c>
      <c r="K28" s="841">
        <f t="shared" si="16"/>
        <v>150</v>
      </c>
      <c r="L28" s="841">
        <f t="shared" si="16"/>
        <v>150</v>
      </c>
      <c r="M28" s="841">
        <f t="shared" si="16"/>
        <v>150</v>
      </c>
      <c r="N28" s="129"/>
      <c r="O28" s="96"/>
      <c r="Q28" s="331"/>
    </row>
    <row r="29" spans="2:22">
      <c r="B29" s="96" t="s">
        <v>314</v>
      </c>
      <c r="C29" s="17"/>
      <c r="D29" s="17"/>
      <c r="E29" s="98"/>
      <c r="F29" s="76"/>
      <c r="G29" s="839">
        <f t="shared" ref="G29" si="17">(30*_rho_PET+G27*_rho_Al+20*_rho_PP)/G28</f>
        <v>2.1959999999999997</v>
      </c>
      <c r="H29" s="839">
        <f t="shared" ref="H29:M29" si="18">(30*_rho_PET+H27*_rho_Al+20*_rho_PP)/H28</f>
        <v>2.1959999999999997</v>
      </c>
      <c r="I29" s="839">
        <f t="shared" si="18"/>
        <v>2.1959999999999997</v>
      </c>
      <c r="J29" s="839">
        <f t="shared" si="18"/>
        <v>2.1959999999999997</v>
      </c>
      <c r="K29" s="839">
        <f t="shared" si="18"/>
        <v>2.1959999999999997</v>
      </c>
      <c r="L29" s="839">
        <f t="shared" si="18"/>
        <v>2.1959999999999997</v>
      </c>
      <c r="M29" s="839">
        <f t="shared" si="18"/>
        <v>2.1959999999999997</v>
      </c>
      <c r="N29" s="265"/>
      <c r="O29" s="1231"/>
    </row>
    <row r="30" spans="2:22">
      <c r="B30" s="17" t="s">
        <v>1093</v>
      </c>
      <c r="C30" s="17"/>
      <c r="D30" s="17"/>
      <c r="E30" s="98"/>
      <c r="F30" s="76"/>
      <c r="G30" s="839">
        <f t="shared" ref="G30:M30" ca="1" si="19">(G120+2*G35+6)*(G121-6)*G28*2/1000*G29/1000</f>
        <v>21.136699631299575</v>
      </c>
      <c r="H30" s="839">
        <f t="shared" ca="1" si="19"/>
        <v>21.136699631299575</v>
      </c>
      <c r="I30" s="839">
        <f t="shared" ca="1" si="19"/>
        <v>21.136699631299575</v>
      </c>
      <c r="J30" s="839">
        <f t="shared" ca="1" si="19"/>
        <v>21.136699631299575</v>
      </c>
      <c r="K30" s="839">
        <f t="shared" ca="1" si="19"/>
        <v>21.136699631299575</v>
      </c>
      <c r="L30" s="839">
        <f t="shared" ca="1" si="19"/>
        <v>21.136699631299575</v>
      </c>
      <c r="M30" s="839">
        <f t="shared" ca="1" si="19"/>
        <v>21.136699631299575</v>
      </c>
      <c r="N30" s="265"/>
      <c r="O30" s="1231"/>
    </row>
    <row r="31" spans="2:22">
      <c r="B31" s="96" t="s">
        <v>22</v>
      </c>
      <c r="C31" s="17"/>
      <c r="D31" s="17"/>
      <c r="E31" s="21"/>
      <c r="F31" s="25"/>
      <c r="G31" s="841">
        <f ca="1">G13+G19+G21*$E21*$F21+G22*$E22*$F22+G23*$E23*$F23+G24*$F24*1000+G25+G26+G30</f>
        <v>1061.3753297348294</v>
      </c>
      <c r="H31" s="841">
        <f t="shared" ref="G31:M31" ca="1" si="20">H13+H19+H21*$E21*$F21+H22*$E22*$F22+H23*$E23*$F23+H24*$F24*1000+H25+H26+H30</f>
        <v>1061.3753297348294</v>
      </c>
      <c r="I31" s="841">
        <f t="shared" ca="1" si="20"/>
        <v>1061.3753297348294</v>
      </c>
      <c r="J31" s="841">
        <f ca="1">J13+J19+J21*$E21*$F21+J22*$E22*$F22+J23*$E23*$F23+J24*$F24*1000+J25+J26+J30</f>
        <v>1061.3753297348294</v>
      </c>
      <c r="K31" s="841">
        <f t="shared" ca="1" si="20"/>
        <v>1061.3753297348294</v>
      </c>
      <c r="L31" s="841">
        <f t="shared" ca="1" si="20"/>
        <v>1061.3753297348294</v>
      </c>
      <c r="M31" s="841">
        <f t="shared" ca="1" si="20"/>
        <v>1061.3753297348294</v>
      </c>
      <c r="N31" s="129"/>
      <c r="O31" s="96"/>
    </row>
    <row r="32" spans="2:22">
      <c r="B32" s="96" t="s">
        <v>249</v>
      </c>
      <c r="C32" s="17"/>
      <c r="D32" s="17"/>
      <c r="E32" s="106"/>
      <c r="F32" s="20"/>
      <c r="G32" s="842">
        <f>3</f>
        <v>3</v>
      </c>
      <c r="H32" s="842">
        <f>3</f>
        <v>3</v>
      </c>
      <c r="I32" s="842">
        <f>3</f>
        <v>3</v>
      </c>
      <c r="J32" s="842">
        <f>3</f>
        <v>3</v>
      </c>
      <c r="K32" s="842">
        <f>3</f>
        <v>3</v>
      </c>
      <c r="L32" s="842">
        <f>3</f>
        <v>3</v>
      </c>
      <c r="M32" s="842">
        <f>3</f>
        <v>3</v>
      </c>
      <c r="N32" s="261"/>
      <c r="O32" s="96"/>
    </row>
    <row r="33" spans="2:32">
      <c r="B33" s="96" t="s">
        <v>606</v>
      </c>
      <c r="C33" s="17"/>
      <c r="D33" s="17"/>
      <c r="E33" s="106"/>
      <c r="F33" s="20"/>
      <c r="G33" s="843">
        <f>IF(G62="microHEV",6,IF(G62="HEV-HP",12,IF(G62="PHEV",16,20)))</f>
        <v>20</v>
      </c>
      <c r="H33" s="843">
        <f t="shared" ref="H33:M33" si="21">IF(H62="microHEV",6,IF(H62="HEV-HP",12,IF(H62="PHEV",16,20)))</f>
        <v>20</v>
      </c>
      <c r="I33" s="843">
        <f t="shared" si="21"/>
        <v>20</v>
      </c>
      <c r="J33" s="843">
        <f t="shared" si="21"/>
        <v>20</v>
      </c>
      <c r="K33" s="843">
        <f t="shared" si="21"/>
        <v>20</v>
      </c>
      <c r="L33" s="843">
        <f t="shared" si="21"/>
        <v>20</v>
      </c>
      <c r="M33" s="843">
        <f t="shared" si="21"/>
        <v>20</v>
      </c>
      <c r="N33" s="417"/>
      <c r="O33" s="96"/>
    </row>
    <row r="34" spans="2:32" ht="14">
      <c r="B34" s="96" t="s">
        <v>607</v>
      </c>
      <c r="C34" s="17"/>
      <c r="D34" s="17"/>
      <c r="E34" s="106"/>
      <c r="F34" s="20"/>
      <c r="G34" s="1065"/>
      <c r="H34" s="1065"/>
      <c r="I34" s="1065"/>
      <c r="J34" s="1065"/>
      <c r="K34" s="1065"/>
      <c r="L34" s="1065"/>
      <c r="M34" s="1065"/>
      <c r="N34" s="364"/>
      <c r="O34" s="96"/>
      <c r="S34" s="189"/>
    </row>
    <row r="35" spans="2:32">
      <c r="B35" s="96" t="s">
        <v>203</v>
      </c>
      <c r="C35" s="17"/>
      <c r="D35" s="17"/>
      <c r="E35" s="106"/>
      <c r="G35" s="844">
        <f t="shared" ref="G35:M35" ca="1" si="22">IF(G34=0,G33,G34)+G202</f>
        <v>20.018696318442373</v>
      </c>
      <c r="H35" s="844">
        <f t="shared" ca="1" si="22"/>
        <v>20.018696318442373</v>
      </c>
      <c r="I35" s="844">
        <f t="shared" ca="1" si="22"/>
        <v>20.018696318442373</v>
      </c>
      <c r="J35" s="844">
        <f t="shared" ca="1" si="22"/>
        <v>20.018696318442373</v>
      </c>
      <c r="K35" s="844">
        <f t="shared" ca="1" si="22"/>
        <v>20.018696318442373</v>
      </c>
      <c r="L35" s="844">
        <f t="shared" ca="1" si="22"/>
        <v>20.018696318442373</v>
      </c>
      <c r="M35" s="844">
        <f t="shared" ca="1" si="22"/>
        <v>20.018696318442373</v>
      </c>
      <c r="N35" s="254"/>
      <c r="O35" s="96"/>
    </row>
    <row r="36" spans="2:32">
      <c r="B36" s="96" t="s">
        <v>290</v>
      </c>
      <c r="C36" s="17"/>
      <c r="D36" s="17"/>
      <c r="E36" s="106"/>
      <c r="G36" s="845">
        <v>1</v>
      </c>
      <c r="H36" s="845">
        <v>1</v>
      </c>
      <c r="I36" s="845">
        <v>1</v>
      </c>
      <c r="J36" s="845">
        <v>1</v>
      </c>
      <c r="K36" s="845">
        <v>1</v>
      </c>
      <c r="L36" s="845">
        <v>1</v>
      </c>
      <c r="M36" s="845">
        <v>1</v>
      </c>
      <c r="N36" s="418"/>
      <c r="O36" s="96"/>
      <c r="T36" s="1066"/>
      <c r="U36" s="1066"/>
      <c r="V36" s="1066"/>
      <c r="W36" s="1066"/>
      <c r="X36" s="1066"/>
      <c r="Y36" s="1066"/>
      <c r="Z36" s="1066"/>
      <c r="AA36" s="1066"/>
      <c r="AB36" s="1066"/>
    </row>
    <row r="37" spans="2:32">
      <c r="B37" s="96" t="s">
        <v>248</v>
      </c>
      <c r="D37" s="165"/>
      <c r="G37" s="1067">
        <v>1</v>
      </c>
      <c r="H37" s="1067">
        <v>1</v>
      </c>
      <c r="I37" s="1067">
        <v>1</v>
      </c>
      <c r="J37" s="1067">
        <v>1</v>
      </c>
      <c r="K37" s="1067">
        <v>1</v>
      </c>
      <c r="L37" s="1067">
        <v>1</v>
      </c>
      <c r="M37" s="1067">
        <v>1</v>
      </c>
      <c r="N37" s="1058"/>
      <c r="O37" s="96"/>
    </row>
    <row r="38" spans="2:32">
      <c r="B38" s="96" t="s">
        <v>254</v>
      </c>
      <c r="D38" s="165"/>
      <c r="G38" s="1068">
        <v>15</v>
      </c>
      <c r="H38" s="1068">
        <v>15</v>
      </c>
      <c r="I38" s="1068">
        <v>15</v>
      </c>
      <c r="J38" s="1068">
        <v>15</v>
      </c>
      <c r="K38" s="1068">
        <v>15</v>
      </c>
      <c r="L38" s="1068">
        <v>15</v>
      </c>
      <c r="M38" s="1068">
        <v>15</v>
      </c>
      <c r="N38" s="317"/>
      <c r="O38" s="96"/>
      <c r="W38" s="880"/>
      <c r="X38" s="880"/>
      <c r="Y38" s="880"/>
      <c r="Z38" s="880"/>
      <c r="AA38" s="880"/>
      <c r="AB38" s="880"/>
      <c r="AC38" s="880"/>
      <c r="AD38" s="880"/>
      <c r="AE38" s="880"/>
      <c r="AF38" s="880"/>
    </row>
    <row r="39" spans="2:32" ht="14">
      <c r="B39" s="210" t="s">
        <v>20</v>
      </c>
      <c r="C39" s="208"/>
      <c r="D39" s="208"/>
      <c r="E39" s="21"/>
      <c r="F39" s="25"/>
      <c r="G39" s="32"/>
      <c r="H39" s="32"/>
      <c r="I39" s="32"/>
      <c r="J39" s="32"/>
      <c r="K39" s="32"/>
      <c r="L39" s="32"/>
      <c r="M39" s="32"/>
      <c r="N39" s="262"/>
      <c r="O39" s="262"/>
      <c r="P39" s="262"/>
      <c r="W39" s="324"/>
      <c r="X39" s="324"/>
      <c r="Y39" s="324"/>
      <c r="Z39" s="324"/>
      <c r="AA39" s="324"/>
      <c r="AB39" s="324"/>
      <c r="AC39" s="324"/>
      <c r="AD39" s="324"/>
      <c r="AE39" s="324"/>
      <c r="AF39" s="324"/>
    </row>
    <row r="40" spans="2:32">
      <c r="B40" s="853" t="s">
        <v>16</v>
      </c>
      <c r="F40" s="25"/>
      <c r="G40" s="1055">
        <f>Chem!$C8</f>
        <v>150</v>
      </c>
      <c r="H40" s="1055">
        <f>Chem!$C8</f>
        <v>150</v>
      </c>
      <c r="I40" s="1055">
        <f>Chem!$C8</f>
        <v>150</v>
      </c>
      <c r="J40" s="1055">
        <f>Chem!$C8</f>
        <v>150</v>
      </c>
      <c r="K40" s="1055">
        <f>Chem!$C8</f>
        <v>150</v>
      </c>
      <c r="L40" s="1055">
        <f>Chem!$C8</f>
        <v>150</v>
      </c>
      <c r="M40" s="1055">
        <f>Chem!$C8</f>
        <v>150</v>
      </c>
      <c r="N40" s="85"/>
      <c r="O40" s="85"/>
      <c r="P40" s="85"/>
      <c r="W40" s="243"/>
      <c r="X40" s="243"/>
      <c r="Y40" s="243"/>
      <c r="Z40" s="243"/>
      <c r="AA40" s="243"/>
      <c r="AB40" s="243"/>
      <c r="AC40" s="243"/>
      <c r="AD40" s="243"/>
      <c r="AE40" s="243"/>
      <c r="AF40" s="243"/>
    </row>
    <row r="41" spans="2:32" ht="15">
      <c r="B41" s="19" t="s">
        <v>17</v>
      </c>
      <c r="C41" s="17"/>
      <c r="D41" s="17"/>
      <c r="F41" s="25"/>
      <c r="G41" s="20">
        <f t="shared" ref="G41:M41" si="23">G40/1000*$E9/100*$F13</f>
        <v>0.3593780260040399</v>
      </c>
      <c r="H41" s="20">
        <f t="shared" si="23"/>
        <v>0.3593780260040399</v>
      </c>
      <c r="I41" s="20">
        <f t="shared" si="23"/>
        <v>0.3593780260040399</v>
      </c>
      <c r="J41" s="20">
        <f t="shared" si="23"/>
        <v>0.3593780260040399</v>
      </c>
      <c r="K41" s="20">
        <f t="shared" si="23"/>
        <v>0.3593780260040399</v>
      </c>
      <c r="L41" s="20">
        <f t="shared" si="23"/>
        <v>0.3593780260040399</v>
      </c>
      <c r="M41" s="20">
        <f t="shared" si="23"/>
        <v>0.3593780260040399</v>
      </c>
      <c r="N41" s="266"/>
      <c r="O41" s="266"/>
      <c r="P41" s="266"/>
      <c r="W41" s="1069"/>
      <c r="X41" s="1069"/>
      <c r="Y41" s="1069"/>
      <c r="Z41" s="1069"/>
      <c r="AA41" s="1069"/>
      <c r="AB41" s="1069"/>
      <c r="AC41" s="1069"/>
      <c r="AD41" s="1069"/>
      <c r="AE41" s="1069"/>
      <c r="AF41" s="1069"/>
    </row>
    <row r="42" spans="2:32">
      <c r="B42" s="853" t="s">
        <v>18</v>
      </c>
      <c r="C42" s="17"/>
      <c r="D42" s="17"/>
      <c r="F42" s="17"/>
      <c r="G42" s="469">
        <f>Chem!$C31</f>
        <v>3800</v>
      </c>
      <c r="H42" s="469">
        <f>Chem!$C31</f>
        <v>3800</v>
      </c>
      <c r="I42" s="469">
        <f>Chem!$C31</f>
        <v>3800</v>
      </c>
      <c r="J42" s="469">
        <f>Chem!$C31</f>
        <v>3800</v>
      </c>
      <c r="K42" s="469">
        <f>Chem!$C31</f>
        <v>3800</v>
      </c>
      <c r="L42" s="469">
        <f>Chem!$C31</f>
        <v>3800</v>
      </c>
      <c r="M42" s="469">
        <f>Chem!$C31</f>
        <v>3800</v>
      </c>
      <c r="N42" s="85"/>
      <c r="O42" s="85"/>
      <c r="P42" s="85"/>
    </row>
    <row r="43" spans="2:32" ht="15">
      <c r="B43" s="19" t="s">
        <v>19</v>
      </c>
      <c r="C43" s="17"/>
      <c r="D43" s="17"/>
      <c r="F43" s="17"/>
      <c r="G43" s="20">
        <f t="shared" ref="G43:M43" si="24">G42/1000*$E15/100*$F19</f>
        <v>1.339272</v>
      </c>
      <c r="H43" s="20">
        <f t="shared" si="24"/>
        <v>1.339272</v>
      </c>
      <c r="I43" s="20">
        <f t="shared" si="24"/>
        <v>1.339272</v>
      </c>
      <c r="J43" s="20">
        <f t="shared" si="24"/>
        <v>1.339272</v>
      </c>
      <c r="K43" s="20">
        <f t="shared" si="24"/>
        <v>1.339272</v>
      </c>
      <c r="L43" s="20">
        <f t="shared" si="24"/>
        <v>1.339272</v>
      </c>
      <c r="M43" s="20">
        <f t="shared" si="24"/>
        <v>1.339272</v>
      </c>
      <c r="N43" s="266"/>
      <c r="O43" s="266"/>
      <c r="P43" s="266"/>
      <c r="W43" s="1069"/>
      <c r="X43" s="1069"/>
      <c r="Y43" s="1069"/>
      <c r="Z43" s="1069"/>
      <c r="AA43" s="1069"/>
      <c r="AB43" s="1069"/>
      <c r="AC43" s="1069"/>
      <c r="AD43" s="1069"/>
      <c r="AE43" s="1069"/>
      <c r="AF43" s="1069"/>
    </row>
    <row r="44" spans="2:32">
      <c r="B44" s="19" t="s">
        <v>139</v>
      </c>
      <c r="C44" s="17"/>
      <c r="D44" s="17"/>
      <c r="F44" s="17"/>
      <c r="G44" s="470">
        <f>Chem!$C30</f>
        <v>1.2</v>
      </c>
      <c r="H44" s="470">
        <f>Chem!$C30</f>
        <v>1.2</v>
      </c>
      <c r="I44" s="470">
        <f>Chem!$C30</f>
        <v>1.2</v>
      </c>
      <c r="J44" s="470">
        <f>Chem!$C30</f>
        <v>1.2</v>
      </c>
      <c r="K44" s="470">
        <f>Chem!$C30</f>
        <v>1.2</v>
      </c>
      <c r="L44" s="470">
        <f>Chem!$C30</f>
        <v>1.2</v>
      </c>
      <c r="M44" s="470">
        <f>Chem!$C30</f>
        <v>1.2</v>
      </c>
      <c r="N44" s="76"/>
      <c r="O44" s="76"/>
      <c r="P44" s="76"/>
      <c r="W44" s="1069"/>
      <c r="X44" s="1069"/>
      <c r="Y44" s="1069"/>
      <c r="Z44" s="1069"/>
      <c r="AA44" s="1069"/>
      <c r="AB44" s="1069"/>
      <c r="AC44" s="1069"/>
      <c r="AD44" s="1069"/>
      <c r="AE44" s="1069"/>
      <c r="AF44" s="1069"/>
    </row>
    <row r="45" spans="2:32" ht="14">
      <c r="B45" s="209" t="s">
        <v>21</v>
      </c>
      <c r="C45" s="208"/>
      <c r="D45" s="208"/>
      <c r="E45" s="212"/>
      <c r="F45" s="17"/>
      <c r="G45" s="19"/>
      <c r="H45" s="19"/>
      <c r="I45" s="19"/>
      <c r="J45" s="19"/>
      <c r="K45" s="19"/>
      <c r="L45" s="19"/>
      <c r="M45" s="19"/>
      <c r="N45" s="94"/>
      <c r="O45" s="94"/>
      <c r="P45" s="94"/>
      <c r="W45" s="1069"/>
      <c r="X45" s="1069"/>
      <c r="Y45" s="1069"/>
      <c r="Z45" s="1069"/>
      <c r="AA45" s="1069"/>
      <c r="AB45" s="1069"/>
      <c r="AC45" s="1069"/>
      <c r="AD45" s="1069"/>
      <c r="AE45" s="1069"/>
      <c r="AF45" s="1069"/>
    </row>
    <row r="46" spans="2:32">
      <c r="B46" s="853" t="s">
        <v>1094</v>
      </c>
      <c r="F46" s="324"/>
      <c r="G46" s="1070">
        <f>IF(G62="microHEV",G47,IF(G62="HEV-HP",Chem!$C62,Chem!$C60))</f>
        <v>3.246</v>
      </c>
      <c r="H46" s="1070">
        <f>IF(H62="microHEV",H47,IF(H62="HEV-HP",Chem!$C62,Chem!$C60))</f>
        <v>3.246</v>
      </c>
      <c r="I46" s="1070">
        <f>IF(I62="microHEV",I47,IF(I62="HEV-HP",Chem!$C62,Chem!$C60))</f>
        <v>3.246</v>
      </c>
      <c r="J46" s="1070">
        <f>IF(J62="microHEV",J47,IF(J62="HEV-HP",Chem!$C62,Chem!$C60))</f>
        <v>3.246</v>
      </c>
      <c r="K46" s="1070">
        <f>IF(K62="microHEV",K47,IF(K62="HEV-HP",Chem!$C62,Chem!$C60))</f>
        <v>3.246</v>
      </c>
      <c r="L46" s="1070">
        <f>IF(L62="microHEV",L47,IF(L62="HEV-HP",Chem!$C62,Chem!$C60))</f>
        <v>3.246</v>
      </c>
      <c r="M46" s="1070">
        <f>IF(M62="microHEV",M47,IF(M62="HEV-HP",Chem!$C62,Chem!$C60))</f>
        <v>3.246</v>
      </c>
      <c r="N46" s="266"/>
      <c r="O46" s="85"/>
      <c r="P46" s="85"/>
      <c r="W46" s="243"/>
      <c r="X46" s="243"/>
      <c r="Y46" s="243"/>
      <c r="Z46" s="243"/>
      <c r="AA46" s="243"/>
      <c r="AB46" s="243"/>
      <c r="AC46" s="243"/>
      <c r="AD46" s="243"/>
      <c r="AE46" s="243"/>
      <c r="AF46" s="243"/>
    </row>
    <row r="47" spans="2:32">
      <c r="B47" s="19" t="s">
        <v>214</v>
      </c>
      <c r="C47" s="17"/>
      <c r="D47" s="17"/>
      <c r="E47" s="17"/>
      <c r="F47" s="17"/>
      <c r="G47" s="1070">
        <f>Chem!$C61</f>
        <v>3.282</v>
      </c>
      <c r="H47" s="1070">
        <f>Chem!$C61</f>
        <v>3.282</v>
      </c>
      <c r="I47" s="1070">
        <f>Chem!$C61</f>
        <v>3.282</v>
      </c>
      <c r="J47" s="1070">
        <f>Chem!$C61</f>
        <v>3.282</v>
      </c>
      <c r="K47" s="1070">
        <f>Chem!$C61</f>
        <v>3.282</v>
      </c>
      <c r="L47" s="1070">
        <f>Chem!$C61</f>
        <v>3.282</v>
      </c>
      <c r="M47" s="1070">
        <f>Chem!$C61</f>
        <v>3.282</v>
      </c>
      <c r="N47" s="266"/>
      <c r="O47" s="266"/>
      <c r="P47" s="266"/>
      <c r="W47" s="1071"/>
      <c r="X47" s="1071"/>
      <c r="Y47" s="1071"/>
      <c r="Z47" s="1071"/>
      <c r="AA47" s="1071"/>
      <c r="AB47" s="1071"/>
      <c r="AC47" s="1071"/>
      <c r="AD47" s="1071"/>
      <c r="AE47" s="1071"/>
      <c r="AF47" s="1071"/>
    </row>
    <row r="48" spans="2:32">
      <c r="B48" s="94" t="s">
        <v>1480</v>
      </c>
      <c r="F48" s="162"/>
      <c r="G48" s="1072">
        <f>Chem!$C$77</f>
        <v>32.5</v>
      </c>
      <c r="H48" s="1072">
        <f>Chem!$C$77</f>
        <v>32.5</v>
      </c>
      <c r="I48" s="1072">
        <f>Chem!$C$77</f>
        <v>32.5</v>
      </c>
      <c r="J48" s="1072">
        <f>Chem!$C$77</f>
        <v>32.5</v>
      </c>
      <c r="K48" s="1072">
        <f>Chem!$C$77</f>
        <v>32.5</v>
      </c>
      <c r="L48" s="1072">
        <f>Chem!$C$77</f>
        <v>32.5</v>
      </c>
      <c r="M48" s="1072">
        <f>Chem!$C$77</f>
        <v>32.5</v>
      </c>
      <c r="N48" s="239"/>
      <c r="O48" s="239"/>
      <c r="P48" s="239"/>
      <c r="W48" s="243"/>
      <c r="X48" s="243"/>
      <c r="Y48" s="243"/>
      <c r="Z48" s="243"/>
      <c r="AA48" s="243"/>
      <c r="AB48" s="243"/>
      <c r="AC48" s="243"/>
      <c r="AD48" s="243"/>
      <c r="AE48" s="243"/>
      <c r="AF48" s="243"/>
    </row>
    <row r="49" spans="1:40">
      <c r="B49" s="94" t="s">
        <v>13</v>
      </c>
      <c r="C49" s="324"/>
      <c r="E49" s="324"/>
      <c r="F49" s="324"/>
      <c r="G49" s="325">
        <f t="shared" ref="G49:M49" ca="1" si="25">(G115+2)*(G116+2)/G115/G116*100-100</f>
        <v>3.4713762441669189</v>
      </c>
      <c r="H49" s="325">
        <f t="shared" ca="1" si="25"/>
        <v>3.4713762441669189</v>
      </c>
      <c r="I49" s="325">
        <f t="shared" ca="1" si="25"/>
        <v>3.4713762441669189</v>
      </c>
      <c r="J49" s="325">
        <f t="shared" ca="1" si="25"/>
        <v>3.4713762441669189</v>
      </c>
      <c r="K49" s="325">
        <f t="shared" ca="1" si="25"/>
        <v>3.4713762441669189</v>
      </c>
      <c r="L49" s="325">
        <f t="shared" ca="1" si="25"/>
        <v>3.4713762441669189</v>
      </c>
      <c r="M49" s="325">
        <f t="shared" ca="1" si="25"/>
        <v>3.4713762441669189</v>
      </c>
      <c r="N49" s="76"/>
      <c r="O49" s="76"/>
      <c r="P49" s="76"/>
    </row>
    <row r="50" spans="1:40">
      <c r="B50" s="96" t="s">
        <v>257</v>
      </c>
      <c r="D50" s="165"/>
      <c r="G50" s="197">
        <v>0.01</v>
      </c>
      <c r="H50" s="197">
        <v>0.01</v>
      </c>
      <c r="I50" s="197">
        <v>0.01</v>
      </c>
      <c r="J50" s="197">
        <v>0.01</v>
      </c>
      <c r="K50" s="197">
        <v>0.01</v>
      </c>
      <c r="L50" s="197">
        <v>0.01</v>
      </c>
      <c r="M50" s="197">
        <v>0.01</v>
      </c>
      <c r="N50" s="85"/>
      <c r="O50" s="85"/>
      <c r="P50" s="85"/>
    </row>
    <row r="51" spans="1:40" ht="15">
      <c r="B51" s="94" t="s">
        <v>1095</v>
      </c>
      <c r="D51" s="165"/>
      <c r="G51" s="197">
        <v>0.05</v>
      </c>
      <c r="H51" s="197">
        <v>0.05</v>
      </c>
      <c r="I51" s="197">
        <v>0.05</v>
      </c>
      <c r="J51" s="197">
        <v>0.05</v>
      </c>
      <c r="K51" s="197">
        <v>0.05</v>
      </c>
      <c r="L51" s="197">
        <v>0.05</v>
      </c>
      <c r="M51" s="197">
        <v>0.05</v>
      </c>
      <c r="N51" s="85"/>
      <c r="O51" s="85"/>
      <c r="P51" s="85"/>
    </row>
    <row r="52" spans="1:40">
      <c r="B52" s="94" t="s">
        <v>1519</v>
      </c>
      <c r="C52" s="324"/>
      <c r="E52" s="324"/>
      <c r="F52" s="324"/>
      <c r="G52" s="197">
        <v>80</v>
      </c>
      <c r="H52" s="197">
        <v>80</v>
      </c>
      <c r="I52" s="197">
        <v>80</v>
      </c>
      <c r="J52" s="197">
        <v>80</v>
      </c>
      <c r="K52" s="197">
        <v>80</v>
      </c>
      <c r="L52" s="197">
        <v>80</v>
      </c>
      <c r="M52" s="197">
        <v>80</v>
      </c>
      <c r="N52" s="85"/>
      <c r="O52" s="85"/>
      <c r="P52" s="85"/>
    </row>
    <row r="53" spans="1:40">
      <c r="B53" s="853" t="s">
        <v>1379</v>
      </c>
      <c r="F53" s="243"/>
      <c r="G53" s="162">
        <f ca="1">IF(Dashboard!$D56=0,G52,100/2*(1+1/G46*(G46^2-4*G65*1000/G74*G95/G112)^0.5))</f>
        <v>91.379782261993427</v>
      </c>
      <c r="H53" s="162">
        <f ca="1">IF(Dashboard!$D56=0,H52,100/2*(1+1/H46*(H46^2-4*H65*1000/H74*H95/H112)^0.5))</f>
        <v>91.379782261993427</v>
      </c>
      <c r="I53" s="162">
        <f ca="1">IF(Dashboard!$D56=0,I52,100/2*(1+1/I46*(I46^2-4*I65*1000/I74*I95/I112)^0.5))</f>
        <v>91.379782261993427</v>
      </c>
      <c r="J53" s="162">
        <f ca="1">IF(Dashboard!$D56=0,J52,100/2*(1+1/J46*(J46^2-4*J65*1000/J74*J95/J112)^0.5))</f>
        <v>91.379782261993427</v>
      </c>
      <c r="K53" s="162">
        <f ca="1">IF(Dashboard!$D56=0,K52,100/2*(1+1/K46*(K46^2-4*K65*1000/K74*K95/K112)^0.5))</f>
        <v>91.379782261993427</v>
      </c>
      <c r="L53" s="162">
        <f ca="1">IF(Dashboard!$D56=0,L52,100/2*(1+1/L46*(L46^2-4*L65*1000/L74*L95/L112)^0.5))</f>
        <v>91.379782261993427</v>
      </c>
      <c r="M53" s="162">
        <f ca="1">IF(Dashboard!$D56=0,M52,100/2*(1+1/M46*(M46^2-4*M65*1000/M74*M95/M112)^0.5))</f>
        <v>91.379782261993427</v>
      </c>
      <c r="N53" s="239"/>
      <c r="O53" s="76"/>
      <c r="P53" s="76"/>
      <c r="Q53" s="255"/>
      <c r="R53" s="141"/>
      <c r="S53" s="379"/>
      <c r="T53" s="379"/>
      <c r="U53" s="379"/>
      <c r="V53" s="379"/>
      <c r="W53" s="379"/>
      <c r="X53" s="379"/>
      <c r="Y53" s="379"/>
      <c r="Z53" s="379"/>
      <c r="AA53" s="379"/>
      <c r="AB53" s="171"/>
      <c r="AC53" s="171"/>
      <c r="AD53" s="171"/>
      <c r="AE53" s="171"/>
      <c r="AF53" s="171"/>
      <c r="AG53" s="171"/>
      <c r="AH53" s="171"/>
      <c r="AI53" s="171"/>
      <c r="AJ53" s="171"/>
      <c r="AK53" s="171"/>
      <c r="AL53" s="171"/>
      <c r="AM53" s="171"/>
      <c r="AN53" s="171"/>
    </row>
    <row r="54" spans="1:40" ht="14">
      <c r="B54" s="164" t="s">
        <v>1520</v>
      </c>
      <c r="F54" s="243"/>
      <c r="G54" s="162">
        <f>G150*IF('Battery Design'!G57="S",'Battery Design'!G56,1)</f>
        <v>328.2</v>
      </c>
      <c r="H54" s="162">
        <f>H150*IF('Battery Design'!H57="S",'Battery Design'!H56,1)</f>
        <v>328.2</v>
      </c>
      <c r="I54" s="162">
        <f>I150*IF('Battery Design'!I57="S",'Battery Design'!I56,1)</f>
        <v>328.2</v>
      </c>
      <c r="J54" s="162">
        <f>J150*IF('Battery Design'!J57="S",'Battery Design'!J56,1)</f>
        <v>328.2</v>
      </c>
      <c r="K54" s="162">
        <f>K150*IF('Battery Design'!K57="S",'Battery Design'!K56,1)</f>
        <v>328.2</v>
      </c>
      <c r="L54" s="162">
        <f>L150*IF('Battery Design'!L57="S",'Battery Design'!L56,1)</f>
        <v>328.2</v>
      </c>
      <c r="M54" s="162">
        <f>M150*IF('Battery Design'!M57="S",'Battery Design'!M56,1)</f>
        <v>328.2</v>
      </c>
      <c r="N54" s="239"/>
      <c r="O54" s="239"/>
      <c r="P54" s="239"/>
      <c r="Q54" s="26"/>
      <c r="R54" s="474"/>
      <c r="S54" s="171"/>
      <c r="T54" s="171"/>
      <c r="U54" s="171"/>
      <c r="V54" s="171"/>
      <c r="W54" s="171"/>
      <c r="X54" s="171"/>
      <c r="Y54" s="171"/>
      <c r="Z54" s="474"/>
      <c r="AA54" s="171"/>
      <c r="AB54" s="171"/>
      <c r="AC54" s="171"/>
      <c r="AD54" s="171"/>
      <c r="AE54" s="171"/>
      <c r="AF54" s="171"/>
      <c r="AG54" s="171"/>
      <c r="AH54" s="474"/>
      <c r="AI54" s="150"/>
      <c r="AJ54" s="150"/>
      <c r="AK54" s="150"/>
      <c r="AL54" s="150"/>
      <c r="AM54" s="150"/>
      <c r="AN54" s="171"/>
    </row>
    <row r="55" spans="1:40" ht="16">
      <c r="B55" s="13" t="s">
        <v>698</v>
      </c>
      <c r="C55" s="14"/>
      <c r="D55" s="14"/>
      <c r="N55" s="96"/>
      <c r="O55" s="96"/>
      <c r="P55" s="96"/>
      <c r="Q55" s="877"/>
      <c r="R55" s="171"/>
      <c r="S55" s="171"/>
      <c r="T55" s="171"/>
      <c r="U55" s="171"/>
      <c r="V55" s="171"/>
      <c r="W55" s="171"/>
      <c r="X55" s="171"/>
      <c r="Y55" s="171"/>
      <c r="Z55" s="171"/>
      <c r="AA55" s="171"/>
      <c r="AB55" s="171"/>
      <c r="AC55" s="171"/>
      <c r="AD55" s="171"/>
      <c r="AE55" s="171"/>
      <c r="AF55" s="171"/>
      <c r="AG55" s="171"/>
      <c r="AH55" s="193"/>
      <c r="AI55" s="475"/>
      <c r="AJ55" s="475"/>
      <c r="AK55" s="475"/>
      <c r="AL55" s="475"/>
      <c r="AM55" s="193"/>
      <c r="AN55" s="171"/>
    </row>
    <row r="56" spans="1:40" ht="14">
      <c r="B56" s="853" t="s">
        <v>459</v>
      </c>
      <c r="C56" s="168"/>
      <c r="D56" s="168"/>
      <c r="E56" s="168"/>
      <c r="F56" s="168"/>
      <c r="G56" s="1073">
        <f>1</f>
        <v>1</v>
      </c>
      <c r="H56" s="1073">
        <f>1</f>
        <v>1</v>
      </c>
      <c r="I56" s="1073">
        <f>1</f>
        <v>1</v>
      </c>
      <c r="J56" s="1073">
        <f>1</f>
        <v>1</v>
      </c>
      <c r="K56" s="1073">
        <f>1</f>
        <v>1</v>
      </c>
      <c r="L56" s="1073">
        <f>1</f>
        <v>1</v>
      </c>
      <c r="M56" s="1073">
        <f>1</f>
        <v>1</v>
      </c>
      <c r="N56" s="410"/>
      <c r="O56" s="96"/>
      <c r="P56" s="96"/>
      <c r="Q56" s="877"/>
      <c r="R56" s="1074"/>
      <c r="S56" s="285"/>
      <c r="T56" s="285"/>
      <c r="U56" s="285"/>
      <c r="V56" s="285"/>
      <c r="W56" s="285"/>
      <c r="X56" s="285"/>
      <c r="Y56" s="171"/>
      <c r="Z56" s="1074"/>
      <c r="AA56" s="285"/>
      <c r="AB56" s="285"/>
      <c r="AC56" s="285"/>
      <c r="AD56" s="285"/>
      <c r="AE56" s="285"/>
      <c r="AF56" s="285"/>
      <c r="AG56" s="171"/>
      <c r="AH56" s="1074"/>
      <c r="AI56" s="285"/>
      <c r="AJ56" s="285"/>
      <c r="AK56" s="285"/>
      <c r="AL56" s="285"/>
      <c r="AM56" s="285"/>
      <c r="AN56" s="285"/>
    </row>
    <row r="57" spans="1:40">
      <c r="B57" s="853" t="s">
        <v>1265</v>
      </c>
      <c r="C57" s="168"/>
      <c r="D57" s="168"/>
      <c r="E57" s="168"/>
      <c r="F57" s="206" t="str">
        <f>IF(SUM('Battery Design'!G56:M56)&gt;7,"Must select if packs&gt;1"," ")</f>
        <v xml:space="preserve"> </v>
      </c>
      <c r="G57" s="626"/>
      <c r="H57" s="626"/>
      <c r="I57" s="626"/>
      <c r="J57" s="626"/>
      <c r="K57" s="626"/>
      <c r="L57" s="626"/>
      <c r="M57" s="626"/>
      <c r="N57" s="625"/>
      <c r="O57" s="245"/>
      <c r="P57" s="96"/>
      <c r="Q57" s="877"/>
      <c r="R57" s="171"/>
      <c r="S57" s="475"/>
      <c r="T57" s="475"/>
      <c r="U57" s="475"/>
      <c r="V57" s="475"/>
      <c r="W57" s="374"/>
      <c r="X57" s="374"/>
      <c r="Y57" s="171"/>
      <c r="Z57" s="193"/>
      <c r="AA57" s="475"/>
      <c r="AB57" s="475"/>
      <c r="AC57" s="475"/>
      <c r="AD57" s="475"/>
      <c r="AE57" s="374"/>
      <c r="AF57" s="374"/>
      <c r="AG57" s="171"/>
      <c r="AH57" s="193"/>
      <c r="AI57" s="475"/>
      <c r="AJ57" s="475"/>
      <c r="AK57" s="475"/>
      <c r="AL57" s="475"/>
      <c r="AM57" s="193"/>
      <c r="AN57" s="171"/>
    </row>
    <row r="58" spans="1:40">
      <c r="B58" s="853" t="s">
        <v>695</v>
      </c>
      <c r="G58" s="324">
        <f>G65*'Battery Design'!G56</f>
        <v>200</v>
      </c>
      <c r="H58" s="324">
        <f>H65*'Battery Design'!H56</f>
        <v>200</v>
      </c>
      <c r="I58" s="324">
        <f>I65*'Battery Design'!I56</f>
        <v>200</v>
      </c>
      <c r="J58" s="324">
        <f>J65*'Battery Design'!J56</f>
        <v>200</v>
      </c>
      <c r="K58" s="324">
        <f>K65*'Battery Design'!K56</f>
        <v>200</v>
      </c>
      <c r="L58" s="324">
        <f>L65*'Battery Design'!L56</f>
        <v>200</v>
      </c>
      <c r="M58" s="324">
        <f>M65*'Battery Design'!M56</f>
        <v>200</v>
      </c>
      <c r="N58" s="85"/>
      <c r="O58" s="245"/>
      <c r="P58" s="96"/>
      <c r="Q58" s="877"/>
      <c r="R58" s="171"/>
      <c r="S58" s="475"/>
      <c r="T58" s="475"/>
      <c r="U58" s="475"/>
      <c r="V58" s="475"/>
      <c r="W58" s="374"/>
      <c r="X58" s="374"/>
      <c r="Y58" s="171"/>
      <c r="Z58" s="193"/>
      <c r="AA58" s="475"/>
      <c r="AB58" s="475"/>
      <c r="AC58" s="475"/>
      <c r="AD58" s="475"/>
      <c r="AE58" s="374"/>
      <c r="AF58" s="374"/>
      <c r="AG58" s="171"/>
      <c r="AH58" s="193"/>
      <c r="AI58" s="475"/>
      <c r="AJ58" s="475"/>
      <c r="AK58" s="475"/>
      <c r="AL58" s="475"/>
      <c r="AM58" s="193"/>
      <c r="AN58" s="171"/>
    </row>
    <row r="59" spans="1:40">
      <c r="B59" s="853" t="s">
        <v>696</v>
      </c>
      <c r="F59" s="1233"/>
      <c r="G59" s="185">
        <f ca="1">G147*'Battery Design'!G56</f>
        <v>99.999999999999957</v>
      </c>
      <c r="H59" s="185">
        <f ca="1">H147*'Battery Design'!H56</f>
        <v>99.999999999999957</v>
      </c>
      <c r="I59" s="185">
        <f ca="1">I147*'Battery Design'!I56</f>
        <v>99.999999999999957</v>
      </c>
      <c r="J59" s="185">
        <f ca="1">J147*'Battery Design'!J56</f>
        <v>99.999999999999957</v>
      </c>
      <c r="K59" s="185">
        <f ca="1">K147*'Battery Design'!K56</f>
        <v>99.999999999999957</v>
      </c>
      <c r="L59" s="185">
        <f ca="1">L147*'Battery Design'!L56</f>
        <v>99.999999999999957</v>
      </c>
      <c r="M59" s="185">
        <f ca="1">M147*'Battery Design'!M56</f>
        <v>99.999999999999957</v>
      </c>
      <c r="N59" s="239"/>
      <c r="O59" s="96"/>
      <c r="P59" s="96"/>
      <c r="Q59" s="877"/>
      <c r="R59" s="171"/>
      <c r="S59" s="150"/>
      <c r="T59" s="150"/>
      <c r="U59" s="150"/>
      <c r="V59" s="150"/>
      <c r="W59" s="150"/>
      <c r="X59" s="150"/>
      <c r="Y59" s="171"/>
      <c r="Z59" s="171"/>
      <c r="AA59" s="150"/>
      <c r="AB59" s="150"/>
      <c r="AC59" s="150"/>
      <c r="AD59" s="150"/>
      <c r="AE59" s="150"/>
      <c r="AF59" s="150"/>
      <c r="AG59" s="171"/>
      <c r="AH59" s="171"/>
      <c r="AI59" s="475"/>
      <c r="AJ59" s="475"/>
      <c r="AK59" s="475"/>
      <c r="AL59" s="475"/>
      <c r="AM59" s="193"/>
      <c r="AN59" s="171"/>
    </row>
    <row r="60" spans="1:40">
      <c r="B60" s="853" t="s">
        <v>697</v>
      </c>
      <c r="G60" s="162">
        <f>G150*IF('Battery Design'!G57="S",'Battery Design'!G56,1)</f>
        <v>328.2</v>
      </c>
      <c r="H60" s="162">
        <f>H150*IF('Battery Design'!H57="S",'Battery Design'!H56,1)</f>
        <v>328.2</v>
      </c>
      <c r="I60" s="162">
        <f>I150*IF('Battery Design'!I57="S",'Battery Design'!I56,1)</f>
        <v>328.2</v>
      </c>
      <c r="J60" s="162">
        <f>J150*IF('Battery Design'!J57="S",'Battery Design'!J56,1)</f>
        <v>328.2</v>
      </c>
      <c r="K60" s="162">
        <f>K150*IF('Battery Design'!K57="S",'Battery Design'!K56,1)</f>
        <v>328.2</v>
      </c>
      <c r="L60" s="162">
        <f>L150*IF('Battery Design'!L57="S",'Battery Design'!L56,1)</f>
        <v>328.2</v>
      </c>
      <c r="M60" s="162">
        <f>M150*IF('Battery Design'!M57="S",'Battery Design'!M56,1)</f>
        <v>328.2</v>
      </c>
      <c r="N60" s="239"/>
      <c r="O60" s="96"/>
      <c r="P60" s="96"/>
      <c r="Q60" s="877"/>
      <c r="R60" s="193"/>
      <c r="S60" s="475"/>
      <c r="T60" s="475"/>
      <c r="U60" s="475"/>
      <c r="V60" s="475"/>
      <c r="W60" s="374"/>
      <c r="X60" s="374"/>
      <c r="Y60" s="171"/>
      <c r="Z60" s="193"/>
      <c r="AA60" s="475"/>
      <c r="AB60" s="475"/>
      <c r="AC60" s="475"/>
      <c r="AD60" s="475"/>
      <c r="AE60" s="374"/>
      <c r="AF60" s="374"/>
      <c r="AG60" s="171"/>
      <c r="AH60" s="171"/>
      <c r="AI60" s="475"/>
      <c r="AJ60" s="475"/>
      <c r="AK60" s="475"/>
      <c r="AL60" s="475"/>
      <c r="AM60" s="193"/>
      <c r="AN60" s="171"/>
    </row>
    <row r="61" spans="1:40" ht="16">
      <c r="B61" s="13" t="s">
        <v>699</v>
      </c>
      <c r="G61" s="162"/>
      <c r="H61" s="162"/>
      <c r="I61" s="162"/>
      <c r="J61" s="162"/>
      <c r="K61" s="162"/>
      <c r="L61" s="162"/>
      <c r="M61" s="162"/>
      <c r="N61" s="239"/>
      <c r="O61" s="96"/>
      <c r="P61" s="96"/>
      <c r="Q61" s="877"/>
      <c r="R61" s="193"/>
      <c r="S61" s="475"/>
      <c r="T61" s="475"/>
      <c r="U61" s="475"/>
      <c r="V61" s="475"/>
      <c r="W61" s="374"/>
      <c r="X61" s="374"/>
      <c r="Y61" s="171"/>
      <c r="Z61" s="193"/>
      <c r="AA61" s="475"/>
      <c r="AB61" s="475"/>
      <c r="AC61" s="475"/>
      <c r="AD61" s="475"/>
      <c r="AE61" s="374"/>
      <c r="AF61" s="374"/>
      <c r="AG61" s="171"/>
      <c r="AH61" s="193"/>
      <c r="AI61" s="475"/>
      <c r="AJ61" s="475"/>
      <c r="AK61" s="475"/>
      <c r="AL61" s="475"/>
      <c r="AM61" s="193"/>
      <c r="AN61" s="171"/>
    </row>
    <row r="62" spans="1:40" ht="16">
      <c r="A62" s="880" t="s">
        <v>991</v>
      </c>
      <c r="B62" s="14" t="s">
        <v>288</v>
      </c>
      <c r="C62" s="14"/>
      <c r="D62" s="14"/>
      <c r="G62" s="1072" t="str">
        <f>Dashboard!$E28</f>
        <v>EV</v>
      </c>
      <c r="H62" s="1072" t="str">
        <f>Dashboard!$E28</f>
        <v>EV</v>
      </c>
      <c r="I62" s="1072" t="str">
        <f>Dashboard!$E28</f>
        <v>EV</v>
      </c>
      <c r="J62" s="1072" t="str">
        <f>Dashboard!$E28</f>
        <v>EV</v>
      </c>
      <c r="K62" s="1072" t="str">
        <f>Dashboard!$E28</f>
        <v>EV</v>
      </c>
      <c r="L62" s="1072" t="str">
        <f>Dashboard!$E28</f>
        <v>EV</v>
      </c>
      <c r="M62" s="1072" t="str">
        <f>Dashboard!$E28</f>
        <v>EV</v>
      </c>
      <c r="N62" s="85"/>
      <c r="O62" s="85"/>
      <c r="P62" s="1075">
        <f>Recycle!G56</f>
        <v>0</v>
      </c>
      <c r="Q62" s="85"/>
      <c r="R62" s="85"/>
      <c r="S62" s="374"/>
      <c r="T62" s="374"/>
      <c r="U62" s="374"/>
      <c r="V62" s="374"/>
      <c r="W62" s="374"/>
      <c r="X62" s="374"/>
      <c r="Y62" s="171"/>
      <c r="Z62" s="85"/>
      <c r="AA62" s="374"/>
      <c r="AB62" s="374"/>
      <c r="AC62" s="374"/>
      <c r="AD62" s="374"/>
      <c r="AE62" s="374"/>
      <c r="AF62" s="374"/>
      <c r="AG62" s="171"/>
      <c r="AH62" s="85"/>
      <c r="AI62" s="374"/>
      <c r="AJ62" s="374"/>
      <c r="AK62" s="374"/>
      <c r="AL62" s="374"/>
      <c r="AM62" s="374"/>
      <c r="AN62" s="374"/>
    </row>
    <row r="63" spans="1:40">
      <c r="B63" s="853" t="s">
        <v>471</v>
      </c>
      <c r="F63" s="1076"/>
      <c r="G63" s="1072" t="str">
        <f>Dashboard!$E29</f>
        <v>EG-W</v>
      </c>
      <c r="H63" s="1072" t="str">
        <f>Dashboard!$E29</f>
        <v>EG-W</v>
      </c>
      <c r="I63" s="1072" t="str">
        <f>Dashboard!$E29</f>
        <v>EG-W</v>
      </c>
      <c r="J63" s="1072" t="str">
        <f>Dashboard!$E29</f>
        <v>EG-W</v>
      </c>
      <c r="K63" s="1072" t="str">
        <f>Dashboard!$E29</f>
        <v>EG-W</v>
      </c>
      <c r="L63" s="1072" t="str">
        <f>Dashboard!$E29</f>
        <v>EG-W</v>
      </c>
      <c r="M63" s="1072" t="str">
        <f>Dashboard!$E29</f>
        <v>EG-W</v>
      </c>
      <c r="N63" s="85"/>
      <c r="O63" s="85"/>
      <c r="P63" s="85"/>
      <c r="Q63" s="374"/>
      <c r="R63" s="374"/>
      <c r="S63" s="374"/>
      <c r="T63" s="374"/>
      <c r="U63" s="374"/>
      <c r="V63" s="374"/>
      <c r="W63" s="374"/>
      <c r="X63" s="374"/>
      <c r="Y63" s="171"/>
      <c r="Z63" s="374"/>
      <c r="AA63" s="374"/>
      <c r="AB63" s="374"/>
      <c r="AC63" s="374"/>
      <c r="AD63" s="374"/>
      <c r="AE63" s="374"/>
      <c r="AF63" s="374"/>
      <c r="AG63" s="171"/>
      <c r="AH63" s="374"/>
      <c r="AI63" s="374"/>
      <c r="AJ63" s="374"/>
      <c r="AK63" s="374"/>
      <c r="AL63" s="374"/>
      <c r="AM63" s="374"/>
      <c r="AN63" s="374"/>
    </row>
    <row r="64" spans="1:40">
      <c r="B64" s="94" t="s">
        <v>625</v>
      </c>
      <c r="G64" s="374">
        <f t="shared" ref="G64:M64" si="26">IF(G62="microHEV",2,10)</f>
        <v>10</v>
      </c>
      <c r="H64" s="374">
        <f t="shared" si="26"/>
        <v>10</v>
      </c>
      <c r="I64" s="374">
        <f t="shared" si="26"/>
        <v>10</v>
      </c>
      <c r="J64" s="374">
        <f t="shared" si="26"/>
        <v>10</v>
      </c>
      <c r="K64" s="374">
        <f t="shared" si="26"/>
        <v>10</v>
      </c>
      <c r="L64" s="374">
        <f t="shared" si="26"/>
        <v>10</v>
      </c>
      <c r="M64" s="374">
        <f t="shared" si="26"/>
        <v>10</v>
      </c>
      <c r="N64" s="85"/>
      <c r="O64" s="85"/>
      <c r="P64" s="85"/>
      <c r="Q64" s="374"/>
      <c r="R64" s="374"/>
      <c r="S64" s="374"/>
      <c r="T64" s="374"/>
      <c r="U64" s="374"/>
      <c r="V64" s="374"/>
      <c r="W64" s="374"/>
      <c r="X64" s="374"/>
      <c r="Y64" s="171"/>
      <c r="Z64" s="374"/>
      <c r="AA64" s="374"/>
      <c r="AB64" s="374"/>
      <c r="AC64" s="374"/>
      <c r="AD64" s="374"/>
      <c r="AE64" s="374"/>
      <c r="AF64" s="374"/>
      <c r="AG64" s="171"/>
      <c r="AH64" s="374"/>
      <c r="AI64" s="374"/>
      <c r="AJ64" s="374"/>
      <c r="AK64" s="374"/>
      <c r="AL64" s="374"/>
      <c r="AM64" s="374"/>
      <c r="AN64" s="374"/>
    </row>
    <row r="65" spans="1:40">
      <c r="B65" s="853" t="s">
        <v>628</v>
      </c>
      <c r="F65" s="243"/>
      <c r="G65" s="1077">
        <f>Dashboard!D33</f>
        <v>200</v>
      </c>
      <c r="H65" s="1077">
        <f>Dashboard!E33</f>
        <v>200</v>
      </c>
      <c r="I65" s="1077">
        <f>Dashboard!F33</f>
        <v>200</v>
      </c>
      <c r="J65" s="1077">
        <f>Dashboard!G33</f>
        <v>200</v>
      </c>
      <c r="K65" s="1077">
        <f>Dashboard!H33</f>
        <v>200</v>
      </c>
      <c r="L65" s="1077">
        <f>Dashboard!I33</f>
        <v>200</v>
      </c>
      <c r="M65" s="1077">
        <f>Dashboard!J33</f>
        <v>200</v>
      </c>
      <c r="N65" s="98"/>
      <c r="O65" s="285"/>
      <c r="P65" s="285"/>
      <c r="Q65" s="285"/>
      <c r="R65" s="285"/>
      <c r="S65" s="285"/>
      <c r="T65" s="285"/>
      <c r="U65" s="285"/>
      <c r="V65" s="285"/>
      <c r="W65" s="285"/>
      <c r="X65" s="285"/>
      <c r="Y65" s="285"/>
      <c r="Z65" s="285"/>
      <c r="AA65" s="285"/>
      <c r="AB65" s="285"/>
      <c r="AC65" s="285"/>
      <c r="AD65" s="285"/>
      <c r="AE65" s="285"/>
      <c r="AF65" s="285"/>
      <c r="AG65" s="285"/>
      <c r="AH65" s="285"/>
      <c r="AI65" s="285"/>
      <c r="AJ65" s="285"/>
      <c r="AK65" s="285"/>
      <c r="AL65" s="285"/>
      <c r="AM65" s="285"/>
      <c r="AN65" s="285"/>
    </row>
    <row r="66" spans="1:40">
      <c r="B66" s="94" t="s">
        <v>1083</v>
      </c>
      <c r="C66" s="242"/>
      <c r="D66" s="242"/>
      <c r="E66" s="242"/>
      <c r="F66" s="242"/>
      <c r="G66" s="285">
        <f>IF(G62="EV",G65*Chem!$C71/Chem!$C75,"NA")</f>
        <v>191.30434782608702</v>
      </c>
      <c r="H66" s="285">
        <f>IF(H62="EV",H65*Chem!$C71/Chem!$C75,"NA")</f>
        <v>191.30434782608702</v>
      </c>
      <c r="I66" s="285">
        <f>IF(I62="EV",I65*Chem!$C71/Chem!$C75,"NA")</f>
        <v>191.30434782608702</v>
      </c>
      <c r="J66" s="285">
        <f>IF(J62="EV",J65*Chem!$C71/Chem!$C75,"NA")</f>
        <v>191.30434782608702</v>
      </c>
      <c r="K66" s="285">
        <f>IF(K62="EV",K65*Chem!$C71/Chem!$C75,"NA")</f>
        <v>191.30434782608702</v>
      </c>
      <c r="L66" s="285">
        <f>IF(L62="EV",L65*Chem!$C71/Chem!$C75,"NA")</f>
        <v>191.30434782608702</v>
      </c>
      <c r="M66" s="285">
        <f>IF(M62="EV",M65*Chem!$C71/Chem!$C75,"NA")</f>
        <v>191.30434782608702</v>
      </c>
      <c r="N66" s="98"/>
      <c r="O66" s="285"/>
      <c r="P66" s="285"/>
      <c r="Q66" s="285"/>
      <c r="R66" s="285"/>
      <c r="S66" s="285"/>
      <c r="T66" s="285"/>
      <c r="U66" s="285"/>
      <c r="V66" s="285"/>
      <c r="W66" s="285"/>
      <c r="X66" s="285"/>
      <c r="Y66" s="282"/>
      <c r="Z66" s="285"/>
      <c r="AA66" s="285"/>
      <c r="AB66" s="285"/>
      <c r="AC66" s="285"/>
      <c r="AD66" s="285"/>
      <c r="AE66" s="285"/>
      <c r="AF66" s="285"/>
      <c r="AG66" s="282"/>
      <c r="AH66" s="285"/>
      <c r="AI66" s="285"/>
      <c r="AJ66" s="285"/>
      <c r="AK66" s="285"/>
      <c r="AL66" s="285"/>
      <c r="AM66" s="285"/>
      <c r="AN66" s="285"/>
    </row>
    <row r="67" spans="1:40">
      <c r="B67" s="853" t="s">
        <v>1084</v>
      </c>
      <c r="G67" s="285">
        <f ca="1">'Summary of Results'!G12</f>
        <v>406.23900856291681</v>
      </c>
      <c r="H67" s="285">
        <f ca="1">'Summary of Results'!H12</f>
        <v>406.23900856291681</v>
      </c>
      <c r="I67" s="285">
        <f ca="1">'Summary of Results'!I12</f>
        <v>406.23900856291681</v>
      </c>
      <c r="J67" s="285">
        <f ca="1">'Summary of Results'!J12</f>
        <v>406.23900856291681</v>
      </c>
      <c r="K67" s="285">
        <f ca="1">'Summary of Results'!K12</f>
        <v>406.23900856291681</v>
      </c>
      <c r="L67" s="285">
        <f ca="1">'Summary of Results'!L12</f>
        <v>406.23900856291681</v>
      </c>
      <c r="M67" s="285">
        <f ca="1">'Summary of Results'!M12</f>
        <v>406.23900856291681</v>
      </c>
      <c r="N67" s="98"/>
      <c r="O67" s="285"/>
      <c r="P67" s="285"/>
      <c r="Q67" s="285"/>
      <c r="R67" s="285"/>
      <c r="S67" s="285"/>
      <c r="T67" s="285"/>
      <c r="U67" s="285"/>
      <c r="V67" s="285"/>
      <c r="W67" s="285"/>
      <c r="X67" s="285"/>
      <c r="Y67" s="282"/>
      <c r="Z67" s="285"/>
      <c r="AA67" s="285"/>
      <c r="AB67" s="285"/>
      <c r="AC67" s="285"/>
      <c r="AD67" s="285"/>
      <c r="AE67" s="285"/>
      <c r="AF67" s="285"/>
      <c r="AG67" s="282"/>
      <c r="AH67" s="285"/>
      <c r="AI67" s="285"/>
      <c r="AJ67" s="285"/>
      <c r="AK67" s="285"/>
      <c r="AL67" s="285"/>
      <c r="AM67" s="285"/>
      <c r="AN67" s="285"/>
    </row>
    <row r="68" spans="1:40">
      <c r="B68" s="853" t="s">
        <v>222</v>
      </c>
      <c r="G68" s="1077">
        <f>Dashboard!D34</f>
        <v>20</v>
      </c>
      <c r="H68" s="1077">
        <f>Dashboard!E34</f>
        <v>20</v>
      </c>
      <c r="I68" s="1077">
        <f>Dashboard!F34</f>
        <v>20</v>
      </c>
      <c r="J68" s="1077">
        <f>Dashboard!G34</f>
        <v>20</v>
      </c>
      <c r="K68" s="1077">
        <f>Dashboard!H34</f>
        <v>20</v>
      </c>
      <c r="L68" s="1077">
        <f>Dashboard!I34</f>
        <v>20</v>
      </c>
      <c r="M68" s="1077">
        <f>Dashboard!J34</f>
        <v>20</v>
      </c>
      <c r="N68" s="85"/>
      <c r="O68" s="374"/>
      <c r="P68" s="374"/>
      <c r="Q68" s="374"/>
      <c r="R68" s="374"/>
      <c r="S68" s="374"/>
      <c r="T68" s="374"/>
      <c r="U68" s="374"/>
      <c r="V68" s="374"/>
      <c r="W68" s="374"/>
      <c r="X68" s="374"/>
      <c r="Y68" s="374"/>
      <c r="Z68" s="374"/>
      <c r="AA68" s="374"/>
      <c r="AB68" s="374"/>
      <c r="AC68" s="374"/>
      <c r="AD68" s="374"/>
      <c r="AE68" s="374"/>
      <c r="AF68" s="374"/>
      <c r="AG68" s="374"/>
      <c r="AH68" s="374"/>
      <c r="AI68" s="374"/>
      <c r="AJ68" s="374"/>
      <c r="AK68" s="374"/>
      <c r="AL68" s="374"/>
      <c r="AM68" s="374"/>
      <c r="AN68" s="374"/>
    </row>
    <row r="69" spans="1:40">
      <c r="B69" s="853" t="s">
        <v>268</v>
      </c>
      <c r="G69" s="1077">
        <f>Dashboard!D35</f>
        <v>4</v>
      </c>
      <c r="H69" s="1077">
        <f>Dashboard!E35</f>
        <v>4</v>
      </c>
      <c r="I69" s="1077">
        <f>Dashboard!F35</f>
        <v>4</v>
      </c>
      <c r="J69" s="1077">
        <f>Dashboard!G35</f>
        <v>4</v>
      </c>
      <c r="K69" s="1077">
        <f>Dashboard!H35</f>
        <v>4</v>
      </c>
      <c r="L69" s="1077">
        <f>Dashboard!I35</f>
        <v>4</v>
      </c>
      <c r="M69" s="1077">
        <f>Dashboard!J35</f>
        <v>4</v>
      </c>
      <c r="N69" s="85"/>
      <c r="O69" s="374"/>
      <c r="P69" s="374"/>
      <c r="Q69" s="374"/>
      <c r="R69" s="374"/>
      <c r="S69" s="374"/>
      <c r="T69" s="374"/>
      <c r="U69" s="374"/>
      <c r="V69" s="374"/>
      <c r="W69" s="374"/>
      <c r="X69" s="374"/>
      <c r="Y69" s="374"/>
      <c r="Z69" s="374"/>
      <c r="AA69" s="374"/>
      <c r="AB69" s="374"/>
      <c r="AC69" s="374"/>
      <c r="AD69" s="374"/>
      <c r="AE69" s="374"/>
      <c r="AF69" s="374"/>
      <c r="AG69" s="374"/>
      <c r="AH69" s="374"/>
      <c r="AI69" s="374"/>
      <c r="AJ69" s="374"/>
      <c r="AK69" s="374"/>
      <c r="AL69" s="374"/>
      <c r="AM69" s="374"/>
      <c r="AN69" s="374"/>
    </row>
    <row r="70" spans="1:40">
      <c r="B70" s="853" t="s">
        <v>223</v>
      </c>
      <c r="G70" s="1077">
        <f>Dashboard!D36</f>
        <v>5</v>
      </c>
      <c r="H70" s="1077">
        <f>Dashboard!E36</f>
        <v>5</v>
      </c>
      <c r="I70" s="1077">
        <f>Dashboard!F36</f>
        <v>5</v>
      </c>
      <c r="J70" s="1077">
        <f>Dashboard!G36</f>
        <v>5</v>
      </c>
      <c r="K70" s="1077">
        <f>Dashboard!H36</f>
        <v>5</v>
      </c>
      <c r="L70" s="1077">
        <f>Dashboard!I36</f>
        <v>5</v>
      </c>
      <c r="M70" s="1077">
        <f>Dashboard!J36</f>
        <v>5</v>
      </c>
      <c r="N70" s="98"/>
      <c r="O70" s="285"/>
      <c r="P70" s="285"/>
      <c r="Q70" s="285"/>
      <c r="R70" s="285"/>
      <c r="S70" s="285"/>
      <c r="T70" s="285"/>
      <c r="U70" s="285"/>
      <c r="V70" s="285"/>
      <c r="W70" s="285"/>
      <c r="X70" s="285"/>
      <c r="Y70" s="285"/>
      <c r="Z70" s="285"/>
      <c r="AA70" s="285"/>
      <c r="AB70" s="285"/>
      <c r="AC70" s="285"/>
      <c r="AD70" s="285"/>
      <c r="AE70" s="285"/>
      <c r="AF70" s="285"/>
      <c r="AG70" s="285"/>
      <c r="AH70" s="285"/>
      <c r="AI70" s="285"/>
      <c r="AJ70" s="285"/>
      <c r="AK70" s="285"/>
      <c r="AL70" s="285"/>
      <c r="AM70" s="285"/>
      <c r="AN70" s="285"/>
    </row>
    <row r="71" spans="1:40">
      <c r="B71" s="96" t="s">
        <v>483</v>
      </c>
      <c r="G71" s="1077">
        <f>Dashboard!D37</f>
        <v>4</v>
      </c>
      <c r="H71" s="1077">
        <f>Dashboard!E37</f>
        <v>4</v>
      </c>
      <c r="I71" s="1077">
        <f>Dashboard!F37</f>
        <v>4</v>
      </c>
      <c r="J71" s="1077">
        <f>Dashboard!G37</f>
        <v>4</v>
      </c>
      <c r="K71" s="1077">
        <f>Dashboard!H37</f>
        <v>4</v>
      </c>
      <c r="L71" s="1077">
        <f>Dashboard!I37</f>
        <v>4</v>
      </c>
      <c r="M71" s="1077">
        <f>Dashboard!J37</f>
        <v>4</v>
      </c>
      <c r="N71" s="98"/>
      <c r="O71" s="285"/>
      <c r="P71" s="285"/>
      <c r="Q71" s="285"/>
      <c r="R71" s="285"/>
      <c r="S71" s="285"/>
      <c r="T71" s="285"/>
      <c r="U71" s="285"/>
      <c r="V71" s="285"/>
      <c r="W71" s="285"/>
      <c r="X71" s="285"/>
      <c r="Y71" s="285"/>
      <c r="Z71" s="285"/>
      <c r="AA71" s="285"/>
      <c r="AB71" s="285"/>
      <c r="AC71" s="285"/>
      <c r="AD71" s="285"/>
      <c r="AE71" s="285"/>
      <c r="AF71" s="285"/>
      <c r="AG71" s="285"/>
      <c r="AH71" s="285"/>
      <c r="AI71" s="285"/>
      <c r="AJ71" s="285"/>
      <c r="AK71" s="285"/>
      <c r="AL71" s="285"/>
      <c r="AM71" s="285"/>
      <c r="AN71" s="285"/>
    </row>
    <row r="72" spans="1:40">
      <c r="A72" s="880" t="s">
        <v>991</v>
      </c>
      <c r="B72" s="853" t="s">
        <v>484</v>
      </c>
      <c r="G72" s="98">
        <f>G70*G71</f>
        <v>20</v>
      </c>
      <c r="H72" s="98">
        <f t="shared" ref="H72:M72" si="27">H70*H71</f>
        <v>20</v>
      </c>
      <c r="I72" s="98">
        <f t="shared" si="27"/>
        <v>20</v>
      </c>
      <c r="J72" s="98">
        <f t="shared" si="27"/>
        <v>20</v>
      </c>
      <c r="K72" s="98">
        <f t="shared" si="27"/>
        <v>20</v>
      </c>
      <c r="L72" s="98">
        <f t="shared" si="27"/>
        <v>20</v>
      </c>
      <c r="M72" s="98">
        <f t="shared" si="27"/>
        <v>20</v>
      </c>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row>
    <row r="73" spans="1:40">
      <c r="B73" s="853" t="s">
        <v>451</v>
      </c>
      <c r="G73" s="1077">
        <f>Dashboard!D38</f>
        <v>1</v>
      </c>
      <c r="H73" s="1077">
        <f>Dashboard!E38</f>
        <v>1</v>
      </c>
      <c r="I73" s="1077">
        <f>Dashboard!F38</f>
        <v>1</v>
      </c>
      <c r="J73" s="1077">
        <f>Dashboard!G38</f>
        <v>1</v>
      </c>
      <c r="K73" s="1077">
        <f>Dashboard!H38</f>
        <v>1</v>
      </c>
      <c r="L73" s="1077">
        <f>Dashboard!I38</f>
        <v>1</v>
      </c>
      <c r="M73" s="1077">
        <f>Dashboard!J38</f>
        <v>1</v>
      </c>
      <c r="N73" s="98"/>
      <c r="O73" s="285"/>
      <c r="P73" s="285"/>
      <c r="Q73" s="285"/>
      <c r="R73" s="285"/>
      <c r="S73" s="285"/>
      <c r="T73" s="285"/>
      <c r="U73" s="285"/>
      <c r="V73" s="285"/>
      <c r="W73" s="285"/>
      <c r="X73" s="285"/>
      <c r="Y73" s="285"/>
      <c r="Z73" s="285"/>
      <c r="AA73" s="285"/>
      <c r="AB73" s="285"/>
      <c r="AC73" s="285"/>
      <c r="AD73" s="285"/>
      <c r="AE73" s="285"/>
      <c r="AF73" s="285"/>
      <c r="AG73" s="285"/>
      <c r="AH73" s="285"/>
      <c r="AI73" s="285"/>
      <c r="AJ73" s="285"/>
      <c r="AK73" s="285"/>
      <c r="AL73" s="285"/>
      <c r="AM73" s="285"/>
      <c r="AN73" s="285"/>
    </row>
    <row r="74" spans="1:40">
      <c r="A74" s="880" t="s">
        <v>991</v>
      </c>
      <c r="B74" s="853" t="s">
        <v>485</v>
      </c>
      <c r="G74" s="374">
        <f>G72*G68</f>
        <v>400</v>
      </c>
      <c r="H74" s="374">
        <f t="shared" ref="H74:M74" si="28">H72*H68</f>
        <v>400</v>
      </c>
      <c r="I74" s="374">
        <f t="shared" si="28"/>
        <v>400</v>
      </c>
      <c r="J74" s="374">
        <f t="shared" si="28"/>
        <v>400</v>
      </c>
      <c r="K74" s="374">
        <f t="shared" si="28"/>
        <v>400</v>
      </c>
      <c r="L74" s="374">
        <f t="shared" si="28"/>
        <v>400</v>
      </c>
      <c r="M74" s="374">
        <f t="shared" si="28"/>
        <v>400</v>
      </c>
      <c r="N74" s="85"/>
      <c r="O74" s="465"/>
      <c r="P74" s="85"/>
      <c r="AH74" s="242"/>
    </row>
    <row r="75" spans="1:40">
      <c r="B75" s="853" t="s">
        <v>486</v>
      </c>
      <c r="G75" s="374">
        <f>G74*'Battery Design'!G56</f>
        <v>400</v>
      </c>
      <c r="H75" s="374">
        <f>H74*'Battery Design'!H56</f>
        <v>400</v>
      </c>
      <c r="I75" s="374">
        <f>I74*'Battery Design'!I56</f>
        <v>400</v>
      </c>
      <c r="J75" s="374">
        <f>J74*'Battery Design'!J56</f>
        <v>400</v>
      </c>
      <c r="K75" s="374">
        <f>K74*'Battery Design'!K56</f>
        <v>400</v>
      </c>
      <c r="L75" s="374">
        <f>L74*'Battery Design'!L56</f>
        <v>400</v>
      </c>
      <c r="M75" s="374">
        <f>M74*'Battery Design'!M56</f>
        <v>400</v>
      </c>
      <c r="N75" s="85"/>
      <c r="O75" s="374"/>
      <c r="P75" s="374"/>
      <c r="Q75" s="374"/>
      <c r="R75" s="374"/>
      <c r="S75" s="374"/>
    </row>
    <row r="76" spans="1:40">
      <c r="B76" s="853" t="s">
        <v>381</v>
      </c>
      <c r="G76" s="197">
        <v>0.03</v>
      </c>
      <c r="H76" s="197">
        <v>0.03</v>
      </c>
      <c r="I76" s="197">
        <v>0.03</v>
      </c>
      <c r="J76" s="197">
        <v>0.03</v>
      </c>
      <c r="K76" s="197">
        <v>0.03</v>
      </c>
      <c r="L76" s="197">
        <v>0.03</v>
      </c>
      <c r="M76" s="197">
        <v>0.03</v>
      </c>
      <c r="N76" s="85"/>
      <c r="O76" s="374"/>
      <c r="P76" s="374"/>
      <c r="Q76" s="374"/>
      <c r="R76" s="374"/>
      <c r="S76" s="374"/>
    </row>
    <row r="77" spans="1:40">
      <c r="B77" s="853" t="s">
        <v>224</v>
      </c>
      <c r="G77" s="1078">
        <v>10</v>
      </c>
      <c r="H77" s="1078">
        <v>10</v>
      </c>
      <c r="I77" s="1078">
        <v>10</v>
      </c>
      <c r="J77" s="1078">
        <v>10</v>
      </c>
      <c r="K77" s="1078">
        <v>10</v>
      </c>
      <c r="L77" s="1078">
        <v>10</v>
      </c>
      <c r="M77" s="1078">
        <v>10</v>
      </c>
      <c r="N77" s="98"/>
      <c r="O77" s="374"/>
      <c r="P77" s="374"/>
      <c r="Q77" s="374"/>
      <c r="R77" s="374"/>
      <c r="S77" s="374"/>
    </row>
    <row r="78" spans="1:40">
      <c r="B78" s="853" t="s">
        <v>225</v>
      </c>
      <c r="G78" s="285">
        <f t="shared" ref="G78:M78" ca="1" si="29">G77+2*IF(G143*G72&lt;20,1,IF(G143*G72&lt;40,1.5,2))</f>
        <v>14</v>
      </c>
      <c r="H78" s="285">
        <f t="shared" ca="1" si="29"/>
        <v>14</v>
      </c>
      <c r="I78" s="285">
        <f t="shared" ca="1" si="29"/>
        <v>14</v>
      </c>
      <c r="J78" s="285">
        <f t="shared" ca="1" si="29"/>
        <v>14</v>
      </c>
      <c r="K78" s="285">
        <f t="shared" ca="1" si="29"/>
        <v>14</v>
      </c>
      <c r="L78" s="285">
        <f t="shared" ca="1" si="29"/>
        <v>14</v>
      </c>
      <c r="M78" s="285">
        <f t="shared" ca="1" si="29"/>
        <v>14</v>
      </c>
      <c r="N78" s="98"/>
      <c r="O78" s="96"/>
    </row>
    <row r="79" spans="1:40" ht="16">
      <c r="B79" s="13" t="s">
        <v>150</v>
      </c>
      <c r="G79" s="205"/>
      <c r="H79" s="205"/>
      <c r="I79" s="205"/>
      <c r="J79" s="205"/>
      <c r="K79" s="205"/>
      <c r="L79" s="205"/>
      <c r="M79" s="205"/>
      <c r="N79" s="362"/>
      <c r="O79" s="96"/>
    </row>
    <row r="80" spans="1:40" ht="14">
      <c r="B80" s="164" t="s">
        <v>154</v>
      </c>
      <c r="E80" s="168"/>
      <c r="F80" s="206" t="str">
        <f>IF(OR(Dashboard!D41="x",Dashboard!E41="x",Dashboard!F41="x",Dashboard!G41="x",Dashboard!H41="x",Dashboard!I41="x",Dashboard!J41="x"),"Inadequate capacity if X"," ")</f>
        <v xml:space="preserve"> </v>
      </c>
      <c r="G80" s="324" t="str">
        <f ca="1">IF(OR('Battery Design'!G88&gt;Chem!$C76,MIN('Battery Design'!G104,'Battery Design'!G105)&lt;Chem!$C20),"X","Ok")</f>
        <v>Ok</v>
      </c>
      <c r="H80" s="324" t="str">
        <f ca="1">IF(OR('Battery Design'!H88&gt;Chem!$C76,MIN('Battery Design'!H104,'Battery Design'!H105)&lt;Chem!$C20),"X","Ok")</f>
        <v>Ok</v>
      </c>
      <c r="I80" s="324" t="str">
        <f ca="1">IF(OR('Battery Design'!I88&gt;Chem!$C76,MIN('Battery Design'!I104,'Battery Design'!I105)&lt;Chem!$C20),"X","Ok")</f>
        <v>Ok</v>
      </c>
      <c r="J80" s="324" t="str">
        <f ca="1">IF(OR('Battery Design'!J88&gt;Chem!$C76,MIN('Battery Design'!J104,'Battery Design'!J105)&lt;Chem!$C20),"X","Ok")</f>
        <v>Ok</v>
      </c>
      <c r="K80" s="324" t="str">
        <f ca="1">IF(OR('Battery Design'!K88&gt;Chem!$C76,MIN('Battery Design'!K104,'Battery Design'!K105)&lt;Chem!$C20),"X","Ok")</f>
        <v>Ok</v>
      </c>
      <c r="L80" s="324" t="str">
        <f ca="1">IF(OR('Battery Design'!L88&gt;Chem!$C76,MIN('Battery Design'!L104,'Battery Design'!L105)&lt;Chem!$C20),"X","Ok")</f>
        <v>Ok</v>
      </c>
      <c r="M80" s="324" t="str">
        <f ca="1">IF(OR('Battery Design'!M88&gt;Chem!$C76,MIN('Battery Design'!M104,'Battery Design'!M105)&lt;Chem!$C20),"X","Ok")</f>
        <v>Ok</v>
      </c>
      <c r="N80" s="267"/>
      <c r="O80" s="96"/>
    </row>
    <row r="81" spans="1:20">
      <c r="B81" s="853" t="s">
        <v>1096</v>
      </c>
      <c r="G81" s="162">
        <f t="shared" ref="G81:M81" ca="1" si="30">G196/G73</f>
        <v>309.40234438966644</v>
      </c>
      <c r="H81" s="162">
        <f t="shared" ca="1" si="30"/>
        <v>309.40234438966644</v>
      </c>
      <c r="I81" s="162">
        <f t="shared" ca="1" si="30"/>
        <v>309.40234438966644</v>
      </c>
      <c r="J81" s="162">
        <f t="shared" ca="1" si="30"/>
        <v>309.40234438966644</v>
      </c>
      <c r="K81" s="162">
        <f t="shared" ca="1" si="30"/>
        <v>309.40234438966644</v>
      </c>
      <c r="L81" s="162">
        <f t="shared" ca="1" si="30"/>
        <v>309.40234438966644</v>
      </c>
      <c r="M81" s="162">
        <f t="shared" ca="1" si="30"/>
        <v>309.40234438966644</v>
      </c>
      <c r="N81" s="239"/>
      <c r="O81" s="465"/>
    </row>
    <row r="82" spans="1:20">
      <c r="A82" s="880"/>
      <c r="B82" s="853" t="s">
        <v>418</v>
      </c>
      <c r="G82" s="162">
        <f t="shared" ref="G82:M82" ca="1" si="31">G81/G69</f>
        <v>77.35058609741661</v>
      </c>
      <c r="H82" s="162">
        <f t="shared" ca="1" si="31"/>
        <v>77.35058609741661</v>
      </c>
      <c r="I82" s="162">
        <f t="shared" ca="1" si="31"/>
        <v>77.35058609741661</v>
      </c>
      <c r="J82" s="162">
        <f t="shared" ca="1" si="31"/>
        <v>77.35058609741661</v>
      </c>
      <c r="K82" s="162">
        <f t="shared" ca="1" si="31"/>
        <v>77.35058609741661</v>
      </c>
      <c r="L82" s="162">
        <f t="shared" ca="1" si="31"/>
        <v>77.35058609741661</v>
      </c>
      <c r="M82" s="162">
        <f t="shared" ca="1" si="31"/>
        <v>77.35058609741661</v>
      </c>
      <c r="N82" s="266"/>
      <c r="O82" s="465"/>
    </row>
    <row r="83" spans="1:20" ht="14">
      <c r="B83" s="164" t="s">
        <v>620</v>
      </c>
      <c r="N83" s="96"/>
      <c r="O83" s="96"/>
    </row>
    <row r="84" spans="1:20">
      <c r="B84" s="853" t="s">
        <v>1481</v>
      </c>
      <c r="F84" s="374"/>
      <c r="G84" s="374">
        <f>Chem!$C$56</f>
        <v>100</v>
      </c>
      <c r="H84" s="374">
        <f>Chem!$C$56</f>
        <v>100</v>
      </c>
      <c r="I84" s="374">
        <f>Chem!$C$56</f>
        <v>100</v>
      </c>
      <c r="J84" s="374">
        <f>Chem!$C$56</f>
        <v>100</v>
      </c>
      <c r="K84" s="374">
        <f>Chem!$C$56</f>
        <v>100</v>
      </c>
      <c r="L84" s="374">
        <f>Chem!$C$56</f>
        <v>100</v>
      </c>
      <c r="M84" s="374">
        <f>Chem!$C$56</f>
        <v>100</v>
      </c>
      <c r="N84" s="85"/>
      <c r="O84" s="85"/>
      <c r="R84" s="1071"/>
    </row>
    <row r="85" spans="1:20">
      <c r="B85" s="853" t="s">
        <v>621</v>
      </c>
      <c r="F85" s="324"/>
      <c r="G85" s="324">
        <f>Chem!$C$64</f>
        <v>120</v>
      </c>
      <c r="H85" s="324">
        <f>Chem!$C$64</f>
        <v>120</v>
      </c>
      <c r="I85" s="324">
        <f>Chem!$C$64</f>
        <v>120</v>
      </c>
      <c r="J85" s="324">
        <f>Chem!$C$64</f>
        <v>120</v>
      </c>
      <c r="K85" s="324">
        <f>Chem!$C$64</f>
        <v>120</v>
      </c>
      <c r="L85" s="324">
        <f>Chem!$C$64</f>
        <v>120</v>
      </c>
      <c r="M85" s="324">
        <f>Chem!$C$64</f>
        <v>120</v>
      </c>
      <c r="N85" s="85"/>
      <c r="O85" s="85"/>
      <c r="R85" s="1071"/>
    </row>
    <row r="86" spans="1:20">
      <c r="B86" s="853" t="s">
        <v>1482</v>
      </c>
      <c r="G86" s="325">
        <f ca="1">1/(Chem!$C$65*Chem!$C$42*G105*10^-4)</f>
        <v>1.4988089342249911</v>
      </c>
      <c r="H86" s="325">
        <f ca="1">1/(Chem!$C$65*Chem!$C$42*H105*10^-4)</f>
        <v>1.4988089342249911</v>
      </c>
      <c r="I86" s="325">
        <f ca="1">1/(Chem!$C$65*Chem!$C$42*I105*10^-4)</f>
        <v>1.4988089342249911</v>
      </c>
      <c r="J86" s="325">
        <f ca="1">1/(Chem!$C$65*Chem!$C$42*J105*10^-4)</f>
        <v>1.4988089342249911</v>
      </c>
      <c r="K86" s="325">
        <f ca="1">1/(Chem!$C$65*Chem!$C$42*K105*10^-4)</f>
        <v>1.4988089342249911</v>
      </c>
      <c r="L86" s="325">
        <f ca="1">1/(Chem!$C$65*Chem!$C$42*L105*10^-4)</f>
        <v>1.4988089342249911</v>
      </c>
      <c r="M86" s="325">
        <f ca="1">1/(Chem!$C$65*Chem!$C$42*M105*10^-4)</f>
        <v>1.4988089342249911</v>
      </c>
      <c r="N86" s="76"/>
      <c r="O86" s="76"/>
    </row>
    <row r="87" spans="1:20">
      <c r="B87" s="853" t="s">
        <v>1483</v>
      </c>
      <c r="G87" s="325">
        <f ca="1">1/(Chem!$C$65*Chem!$C$21*G104*10^-4*((1-(G154/G85)^2)*(1-G153/G84))^0.5)</f>
        <v>1.8256425468644224E-2</v>
      </c>
      <c r="H87" s="325">
        <f ca="1">1/(Chem!$C$65*Chem!$C$21*H104*10^-4*((1-(H154/H85)^2)*(1-H153/H84))^0.5)</f>
        <v>1.8256425468644224E-2</v>
      </c>
      <c r="I87" s="325">
        <f ca="1">1/(Chem!$C$65*Chem!$C$21*I104*10^-4*((1-(I154/I85)^2)*(1-I153/I84))^0.5)</f>
        <v>1.8256425468644224E-2</v>
      </c>
      <c r="J87" s="325">
        <f ca="1">1/(Chem!$C$65*Chem!$C$21*J104*10^-4*((1-(J154/J85)^2)*(1-J153/J84))^0.5)</f>
        <v>1.8256425468644224E-2</v>
      </c>
      <c r="K87" s="325">
        <f ca="1">1/(Chem!$C$65*Chem!$C$21*K104*10^-4*((1-(K154/K85)^2)*(1-K153/K84))^0.5)</f>
        <v>1.8256425468644224E-2</v>
      </c>
      <c r="L87" s="325">
        <f ca="1">1/(Chem!$C$65*Chem!$C$21*L104*10^-4*((1-(L154/L85)^2)*(1-L153/L84))^0.5)</f>
        <v>1.8256425468644224E-2</v>
      </c>
      <c r="M87" s="325">
        <f ca="1">1/(Chem!$C$65*Chem!$C$21*M104*10^-4*((1-(M154/M85)^2)*(1-M153/M84))^0.5)</f>
        <v>1.8256425468644224E-2</v>
      </c>
      <c r="N87" s="76"/>
      <c r="O87" s="76"/>
    </row>
    <row r="88" spans="1:20" ht="15">
      <c r="B88" s="853" t="s">
        <v>1474</v>
      </c>
      <c r="D88" s="324"/>
      <c r="F88" s="324"/>
      <c r="G88" s="325">
        <f ca="1">Chem!$C$71-Chem!$C$67+G86+G87</f>
        <v>27.517065359693639</v>
      </c>
      <c r="H88" s="325">
        <f ca="1">Chem!$C$71-Chem!$C$67+H86+H87</f>
        <v>27.517065359693639</v>
      </c>
      <c r="I88" s="325">
        <f ca="1">Chem!$C$71-Chem!$C$67+I86+I87</f>
        <v>27.517065359693639</v>
      </c>
      <c r="J88" s="325">
        <f ca="1">Chem!$C$71-Chem!$C$67+J86+J87</f>
        <v>27.517065359693639</v>
      </c>
      <c r="K88" s="325">
        <f ca="1">Chem!$C$71-Chem!$C$67+K86+K87</f>
        <v>27.517065359693639</v>
      </c>
      <c r="L88" s="325">
        <f ca="1">Chem!$C$71-Chem!$C$67+L86+L87</f>
        <v>27.517065359693639</v>
      </c>
      <c r="M88" s="325">
        <f ca="1">Chem!$C$71-Chem!$C$67+M86+M87</f>
        <v>27.517065359693639</v>
      </c>
      <c r="N88" s="76"/>
      <c r="O88" s="76"/>
    </row>
    <row r="89" spans="1:20">
      <c r="B89" s="853" t="s">
        <v>1097</v>
      </c>
      <c r="G89" s="425">
        <f t="shared" ref="G89:M89" si="32">IF($D22="Cu",1/(_Conductivity_Cu/100*$E$22*0.0001/2)+1/(_Conductivity_Al/100*$E21*0.0001/2),2/(_Conductivity_Al/100*$E21*0.0001/2))</f>
        <v>6.892397889852183E-3</v>
      </c>
      <c r="H89" s="425">
        <f t="shared" si="32"/>
        <v>6.892397889852183E-3</v>
      </c>
      <c r="I89" s="425">
        <f t="shared" si="32"/>
        <v>6.892397889852183E-3</v>
      </c>
      <c r="J89" s="425">
        <f t="shared" si="32"/>
        <v>6.892397889852183E-3</v>
      </c>
      <c r="K89" s="425">
        <f t="shared" si="32"/>
        <v>6.892397889852183E-3</v>
      </c>
      <c r="L89" s="425">
        <f t="shared" si="32"/>
        <v>6.892397889852183E-3</v>
      </c>
      <c r="M89" s="425">
        <f t="shared" si="32"/>
        <v>6.892397889852183E-3</v>
      </c>
      <c r="N89" s="629"/>
      <c r="O89" s="268"/>
    </row>
    <row r="90" spans="1:20" ht="15">
      <c r="A90" s="1211" t="s">
        <v>991</v>
      </c>
      <c r="B90" s="853" t="s">
        <v>1469</v>
      </c>
      <c r="G90" s="1079">
        <f t="shared" ref="G90" ca="1" si="33">G89*(G116^2/3+G116*G117)/100</f>
        <v>1.6839437663706178</v>
      </c>
      <c r="H90" s="1079">
        <f t="shared" ref="H90:M90" ca="1" si="34">H89*(H116^2/3+H116*H117)/100</f>
        <v>1.6839437663706178</v>
      </c>
      <c r="I90" s="1079">
        <f t="shared" ca="1" si="34"/>
        <v>1.6839437663706178</v>
      </c>
      <c r="J90" s="1079">
        <f t="shared" ca="1" si="34"/>
        <v>1.6839437663706178</v>
      </c>
      <c r="K90" s="1079">
        <f t="shared" ca="1" si="34"/>
        <v>1.6839437663706178</v>
      </c>
      <c r="L90" s="1079">
        <f t="shared" ca="1" si="34"/>
        <v>1.6839437663706178</v>
      </c>
      <c r="M90" s="1079">
        <f t="shared" ca="1" si="34"/>
        <v>1.6839437663706178</v>
      </c>
      <c r="N90" s="269"/>
      <c r="O90" s="269"/>
    </row>
    <row r="91" spans="1:20" ht="15">
      <c r="B91" s="853" t="s">
        <v>1470</v>
      </c>
      <c r="G91" s="321">
        <f t="shared" ref="G91:M91" ca="1" si="35">(100/(_Conductivity_Al)+100/IF($D22="Cu",_Conductivity_Cu,_Conductivity_Al))*(10/G37)*G119/G118*G112 + G50/100*G46/G165*G112</f>
        <v>0.56644331693974892</v>
      </c>
      <c r="H91" s="321">
        <f t="shared" ca="1" si="35"/>
        <v>0.56644331693974892</v>
      </c>
      <c r="I91" s="321">
        <f t="shared" ca="1" si="35"/>
        <v>0.56644331693974892</v>
      </c>
      <c r="J91" s="321">
        <f t="shared" ca="1" si="35"/>
        <v>0.56644331693974892</v>
      </c>
      <c r="K91" s="321">
        <f t="shared" ca="1" si="35"/>
        <v>0.56644331693974892</v>
      </c>
      <c r="L91" s="321">
        <f t="shared" ca="1" si="35"/>
        <v>0.56644331693974892</v>
      </c>
      <c r="M91" s="321">
        <f t="shared" ca="1" si="35"/>
        <v>0.56644331693974892</v>
      </c>
      <c r="N91" s="853"/>
      <c r="O91" s="853"/>
    </row>
    <row r="92" spans="1:20">
      <c r="B92" s="853" t="s">
        <v>505</v>
      </c>
      <c r="G92" s="1080">
        <f t="shared" ref="G92:M92" ca="1" si="36">G130+G169+G170/(G72*G73^2)</f>
        <v>1.0341105826767769E-4</v>
      </c>
      <c r="H92" s="1080">
        <f t="shared" ca="1" si="36"/>
        <v>1.0341105826767769E-4</v>
      </c>
      <c r="I92" s="1080">
        <f t="shared" ca="1" si="36"/>
        <v>1.0341105826767769E-4</v>
      </c>
      <c r="J92" s="1080">
        <f t="shared" ca="1" si="36"/>
        <v>1.0341105826767769E-4</v>
      </c>
      <c r="K92" s="1080">
        <f t="shared" ca="1" si="36"/>
        <v>1.0341105826767769E-4</v>
      </c>
      <c r="L92" s="1080">
        <f t="shared" ca="1" si="36"/>
        <v>1.0341105826767769E-4</v>
      </c>
      <c r="M92" s="1080">
        <f t="shared" ca="1" si="36"/>
        <v>1.0341105826767769E-4</v>
      </c>
      <c r="N92" s="270"/>
      <c r="O92" s="270"/>
      <c r="P92" s="171"/>
      <c r="Q92" s="171"/>
      <c r="R92" s="171"/>
      <c r="S92" s="171"/>
      <c r="T92" s="315"/>
    </row>
    <row r="93" spans="1:20">
      <c r="B93" s="853" t="s">
        <v>504</v>
      </c>
      <c r="G93" s="1080">
        <f t="shared" ref="G93:M93" ca="1" si="37">G92/(G68*G69^2)</f>
        <v>3.2315955708649278E-7</v>
      </c>
      <c r="H93" s="1080">
        <f t="shared" ca="1" si="37"/>
        <v>3.2315955708649278E-7</v>
      </c>
      <c r="I93" s="1080">
        <f t="shared" ca="1" si="37"/>
        <v>3.2315955708649278E-7</v>
      </c>
      <c r="J93" s="1080">
        <f t="shared" ca="1" si="37"/>
        <v>3.2315955708649278E-7</v>
      </c>
      <c r="K93" s="1080">
        <f t="shared" ca="1" si="37"/>
        <v>3.2315955708649278E-7</v>
      </c>
      <c r="L93" s="1080">
        <f t="shared" ca="1" si="37"/>
        <v>3.2315955708649278E-7</v>
      </c>
      <c r="M93" s="1080">
        <f t="shared" ca="1" si="37"/>
        <v>3.2315955708649278E-7</v>
      </c>
      <c r="N93" s="270"/>
      <c r="O93" s="270"/>
      <c r="P93" s="171"/>
      <c r="Q93" s="171"/>
      <c r="R93" s="171"/>
      <c r="S93" s="171"/>
      <c r="T93" s="325"/>
    </row>
    <row r="94" spans="1:20" ht="15">
      <c r="B94" s="877" t="s">
        <v>1471</v>
      </c>
      <c r="D94" s="162"/>
      <c r="F94" s="331"/>
      <c r="G94" s="321">
        <f ca="1">G90+G91+G93*G112</f>
        <v>2.2561833431757701</v>
      </c>
      <c r="H94" s="321">
        <f t="shared" ref="H94:M94" ca="1" si="38">H90+H91+H93*H112</f>
        <v>2.2561833431757701</v>
      </c>
      <c r="I94" s="321">
        <f t="shared" ca="1" si="38"/>
        <v>2.2561833431757701</v>
      </c>
      <c r="J94" s="321">
        <f t="shared" ca="1" si="38"/>
        <v>2.2561833431757701</v>
      </c>
      <c r="K94" s="321">
        <f t="shared" ca="1" si="38"/>
        <v>2.2561833431757701</v>
      </c>
      <c r="L94" s="321">
        <f t="shared" ca="1" si="38"/>
        <v>2.2561833431757701</v>
      </c>
      <c r="M94" s="321">
        <f t="shared" ca="1" si="38"/>
        <v>2.2561833431757701</v>
      </c>
      <c r="N94" s="266"/>
      <c r="O94" s="266"/>
      <c r="P94" s="171"/>
      <c r="Q94" s="171"/>
      <c r="R94" s="171"/>
      <c r="S94" s="171"/>
      <c r="T94" s="325"/>
    </row>
    <row r="95" spans="1:20" ht="15">
      <c r="A95" s="1211" t="s">
        <v>991</v>
      </c>
      <c r="B95" s="853" t="s">
        <v>1472</v>
      </c>
      <c r="D95" s="162"/>
      <c r="G95" s="325">
        <f ca="1">G88+G94</f>
        <v>29.773248702869409</v>
      </c>
      <c r="H95" s="325">
        <f t="shared" ref="H95:M95" ca="1" si="39">H88+H94</f>
        <v>29.773248702869409</v>
      </c>
      <c r="I95" s="325">
        <f t="shared" ca="1" si="39"/>
        <v>29.773248702869409</v>
      </c>
      <c r="J95" s="325">
        <f t="shared" ca="1" si="39"/>
        <v>29.773248702869409</v>
      </c>
      <c r="K95" s="325">
        <f t="shared" ca="1" si="39"/>
        <v>29.773248702869409</v>
      </c>
      <c r="L95" s="325">
        <f t="shared" ca="1" si="39"/>
        <v>29.773248702869409</v>
      </c>
      <c r="M95" s="325">
        <f t="shared" ca="1" si="39"/>
        <v>29.773248702869409</v>
      </c>
      <c r="N95" s="76"/>
      <c r="O95" s="76"/>
      <c r="P95" s="171"/>
      <c r="Q95" s="171"/>
      <c r="R95" s="171"/>
      <c r="S95" s="171"/>
      <c r="T95" s="325"/>
    </row>
    <row r="96" spans="1:20" ht="15">
      <c r="A96" s="1211" t="s">
        <v>991</v>
      </c>
      <c r="B96" s="853" t="s">
        <v>1473</v>
      </c>
      <c r="D96" s="165"/>
      <c r="G96" s="325">
        <f t="shared" ref="G96:M96" ca="1" si="40">G48 + G94</f>
        <v>34.756183343175771</v>
      </c>
      <c r="H96" s="325">
        <f t="shared" ca="1" si="40"/>
        <v>34.756183343175771</v>
      </c>
      <c r="I96" s="325">
        <f t="shared" ca="1" si="40"/>
        <v>34.756183343175771</v>
      </c>
      <c r="J96" s="325">
        <f t="shared" ca="1" si="40"/>
        <v>34.756183343175771</v>
      </c>
      <c r="K96" s="325">
        <f t="shared" ca="1" si="40"/>
        <v>34.756183343175771</v>
      </c>
      <c r="L96" s="325">
        <f t="shared" ca="1" si="40"/>
        <v>34.756183343175771</v>
      </c>
      <c r="M96" s="325">
        <f t="shared" ca="1" si="40"/>
        <v>34.756183343175771</v>
      </c>
      <c r="N96" s="76"/>
      <c r="O96" s="76"/>
      <c r="P96" s="171"/>
      <c r="Q96" s="171"/>
      <c r="R96" s="171"/>
      <c r="S96" s="171"/>
      <c r="T96" s="259"/>
    </row>
    <row r="97" spans="1:32" ht="14">
      <c r="B97" s="164" t="s">
        <v>360</v>
      </c>
      <c r="G97" s="315"/>
      <c r="H97" s="315"/>
      <c r="I97" s="315"/>
      <c r="J97" s="315"/>
      <c r="K97" s="315"/>
      <c r="L97" s="315"/>
      <c r="M97" s="315"/>
      <c r="N97" s="376"/>
      <c r="O97" s="376"/>
      <c r="P97" s="171"/>
      <c r="Q97" s="171"/>
      <c r="R97" s="171"/>
      <c r="S97" s="259"/>
      <c r="T97" s="259"/>
    </row>
    <row r="98" spans="1:32">
      <c r="B98" s="853" t="s">
        <v>502</v>
      </c>
      <c r="G98" s="185">
        <f t="shared" ref="G98:M98" si="41">G41*G44/G43</f>
        <v>0.32200600864114826</v>
      </c>
      <c r="H98" s="185">
        <f t="shared" si="41"/>
        <v>0.32200600864114826</v>
      </c>
      <c r="I98" s="185">
        <f t="shared" si="41"/>
        <v>0.32200600864114826</v>
      </c>
      <c r="J98" s="185">
        <f t="shared" si="41"/>
        <v>0.32200600864114826</v>
      </c>
      <c r="K98" s="185">
        <f t="shared" si="41"/>
        <v>0.32200600864114826</v>
      </c>
      <c r="L98" s="185">
        <f t="shared" si="41"/>
        <v>0.32200600864114826</v>
      </c>
      <c r="M98" s="185">
        <f t="shared" si="41"/>
        <v>0.32200600864114826</v>
      </c>
      <c r="N98" s="76"/>
      <c r="O98" s="76"/>
      <c r="P98" s="171"/>
      <c r="Q98" s="171"/>
      <c r="R98" s="171"/>
      <c r="S98" s="259"/>
      <c r="T98" s="1081"/>
    </row>
    <row r="99" spans="1:32" ht="14">
      <c r="B99" s="1160" t="s">
        <v>1377</v>
      </c>
      <c r="G99" s="1082"/>
      <c r="H99" s="1082"/>
      <c r="I99" s="1082"/>
      <c r="J99" s="1082"/>
      <c r="K99" s="1082"/>
      <c r="L99" s="1082"/>
      <c r="M99" s="1082"/>
      <c r="N99" s="272"/>
      <c r="O99" s="272"/>
      <c r="P99" s="171"/>
      <c r="Q99" s="171"/>
      <c r="R99" s="171"/>
      <c r="S99" s="171"/>
      <c r="T99" s="171"/>
    </row>
    <row r="100" spans="1:32">
      <c r="B100" s="853" t="s">
        <v>1370</v>
      </c>
      <c r="F100" s="171"/>
      <c r="G100" s="1082" t="str">
        <f>IF(Dashboard!D47=0," ",Dashboard!D47)</f>
        <v xml:space="preserve"> </v>
      </c>
      <c r="H100" s="1082" t="str">
        <f>IF(Dashboard!E47=0," ",Dashboard!E47)</f>
        <v xml:space="preserve"> </v>
      </c>
      <c r="I100" s="1082" t="str">
        <f>IF(Dashboard!F47=0," ",Dashboard!F47)</f>
        <v xml:space="preserve"> </v>
      </c>
      <c r="J100" s="1082" t="str">
        <f>IF(Dashboard!G47=0," ",Dashboard!G47)</f>
        <v xml:space="preserve"> </v>
      </c>
      <c r="K100" s="1082" t="str">
        <f>IF(Dashboard!H47=0," ",Dashboard!H47)</f>
        <v xml:space="preserve"> </v>
      </c>
      <c r="L100" s="1082" t="str">
        <f>IF(Dashboard!I47=0," ",Dashboard!I47)</f>
        <v xml:space="preserve"> </v>
      </c>
      <c r="M100" s="1082" t="str">
        <f>IF(Dashboard!J47=0," ",Dashboard!J47)</f>
        <v xml:space="preserve"> </v>
      </c>
      <c r="N100" s="272"/>
      <c r="O100" s="272"/>
      <c r="P100" s="171"/>
      <c r="Q100" s="171"/>
      <c r="R100" s="171"/>
      <c r="S100" s="171"/>
      <c r="T100" s="171"/>
    </row>
    <row r="101" spans="1:32" s="14" customFormat="1" ht="16">
      <c r="B101" s="17" t="s">
        <v>1371</v>
      </c>
      <c r="C101" s="853"/>
      <c r="D101" s="853"/>
      <c r="E101" s="853"/>
      <c r="F101" s="171"/>
      <c r="G101" s="162">
        <f ca="1">MIN(Chem!$C19,G82/G41/G110*10000)</f>
        <v>120</v>
      </c>
      <c r="H101" s="162">
        <f ca="1">MIN(Chem!$C19,H82/H41/H110*10000)</f>
        <v>120</v>
      </c>
      <c r="I101" s="162">
        <f ca="1">MIN(Chem!$C19,I82/I41/I110*10000)</f>
        <v>120</v>
      </c>
      <c r="J101" s="162">
        <f ca="1">MIN(Chem!$C19,J82/J41/J110*10000)</f>
        <v>120</v>
      </c>
      <c r="K101" s="162">
        <f ca="1">MIN(Chem!$C19,K82/K41/K110*10000)</f>
        <v>120</v>
      </c>
      <c r="L101" s="162">
        <f ca="1">MIN(Chem!$C19,L82/L41/L110*10000)</f>
        <v>120</v>
      </c>
      <c r="M101" s="162">
        <f ca="1">MIN(Chem!$C19,M82/M41/M110*10000)</f>
        <v>120</v>
      </c>
      <c r="N101" s="239"/>
      <c r="O101" s="239"/>
      <c r="P101" s="171"/>
      <c r="Q101" s="171"/>
      <c r="R101" s="171"/>
      <c r="S101" s="171"/>
      <c r="T101" s="170"/>
    </row>
    <row r="102" spans="1:32">
      <c r="B102" s="17" t="s">
        <v>1372</v>
      </c>
      <c r="F102" s="171"/>
      <c r="G102" s="162">
        <f ca="1">IF(Dashboard!$D56=0,60,IF(OR(G62="EV",G62="PHEV"),'EV Charging'!G22,"N/A"))</f>
        <v>120</v>
      </c>
      <c r="H102" s="162">
        <f ca="1">IF(Dashboard!$D56=0,60,IF(OR(H62="EV",H62="PHEV"),'EV Charging'!H22,"N/A"))</f>
        <v>120</v>
      </c>
      <c r="I102" s="162">
        <f ca="1">IF(Dashboard!$D56=0,60,IF(OR(I62="EV",I62="PHEV"),'EV Charging'!I22,"N/A"))</f>
        <v>120</v>
      </c>
      <c r="J102" s="162">
        <f ca="1">IF(Dashboard!$D56=0,60,IF(OR(J62="EV",J62="PHEV"),'EV Charging'!J22,"N/A"))</f>
        <v>120</v>
      </c>
      <c r="K102" s="162">
        <f ca="1">IF(Dashboard!$D56=0,60,IF(OR(K62="EV",K62="PHEV"),'EV Charging'!K22,"N/A"))</f>
        <v>120</v>
      </c>
      <c r="L102" s="162">
        <f ca="1">IF(Dashboard!$D56=0,60,IF(OR(L62="EV",L62="PHEV"),'EV Charging'!L22,"N/A"))</f>
        <v>120</v>
      </c>
      <c r="M102" s="162">
        <f ca="1">IF(Dashboard!$D56=0,60,IF(OR(M62="EV",M62="PHEV"),'EV Charging'!M22,"N/A"))</f>
        <v>120</v>
      </c>
      <c r="N102" s="239"/>
      <c r="O102" s="239"/>
      <c r="P102" s="379"/>
      <c r="S102" s="171"/>
      <c r="T102" s="379"/>
    </row>
    <row r="103" spans="1:32">
      <c r="B103" s="753" t="s">
        <v>1378</v>
      </c>
      <c r="F103" s="171"/>
      <c r="G103" s="573"/>
      <c r="H103" s="573"/>
      <c r="I103" s="573"/>
      <c r="J103" s="573"/>
      <c r="K103" s="573"/>
      <c r="L103" s="573"/>
      <c r="M103" s="573"/>
      <c r="N103" s="409"/>
      <c r="O103" s="267"/>
      <c r="P103" s="379"/>
    </row>
    <row r="104" spans="1:32">
      <c r="A104" s="880" t="s">
        <v>991</v>
      </c>
      <c r="B104" s="853" t="s">
        <v>1042</v>
      </c>
      <c r="F104" s="285"/>
      <c r="G104" s="162">
        <f ca="1">IF(G100=" ", MIN('Battery Design'!G101:G102),G100)</f>
        <v>120</v>
      </c>
      <c r="H104" s="162">
        <f ca="1">IF(H100=" ", MIN('Battery Design'!H101:H102),H100)</f>
        <v>120</v>
      </c>
      <c r="I104" s="162">
        <f ca="1">IF(I100=" ", MIN('Battery Design'!I101:I102),I100)</f>
        <v>120</v>
      </c>
      <c r="J104" s="162">
        <f ca="1">IF(J100=" ", MIN('Battery Design'!J101:J102),J100)</f>
        <v>120</v>
      </c>
      <c r="K104" s="162">
        <f ca="1">IF(K100=" ", MIN('Battery Design'!K101:K102),K100)</f>
        <v>120</v>
      </c>
      <c r="L104" s="162">
        <f ca="1">IF(L100=" ", MIN('Battery Design'!L101:L102),L100)</f>
        <v>120</v>
      </c>
      <c r="M104" s="162">
        <f ca="1">IF(M100=" ", MIN('Battery Design'!M101:M102),M100)</f>
        <v>120</v>
      </c>
      <c r="N104" s="409"/>
      <c r="O104" s="239"/>
      <c r="P104" s="171"/>
    </row>
    <row r="105" spans="1:32">
      <c r="A105" s="880" t="s">
        <v>991</v>
      </c>
      <c r="B105" s="853" t="s">
        <v>1043</v>
      </c>
      <c r="G105" s="162">
        <f ca="1">G104*G98</f>
        <v>38.640721036937791</v>
      </c>
      <c r="H105" s="162">
        <f t="shared" ref="H105:M105" ca="1" si="42">H104*H98</f>
        <v>38.640721036937791</v>
      </c>
      <c r="I105" s="162">
        <f t="shared" ca="1" si="42"/>
        <v>38.640721036937791</v>
      </c>
      <c r="J105" s="162">
        <f t="shared" ca="1" si="42"/>
        <v>38.640721036937791</v>
      </c>
      <c r="K105" s="162">
        <f t="shared" ca="1" si="42"/>
        <v>38.640721036937791</v>
      </c>
      <c r="L105" s="162">
        <f t="shared" ca="1" si="42"/>
        <v>38.640721036937791</v>
      </c>
      <c r="M105" s="162">
        <f t="shared" ca="1" si="42"/>
        <v>38.640721036937791</v>
      </c>
      <c r="N105" s="239"/>
      <c r="O105" s="239"/>
      <c r="P105" s="171"/>
    </row>
    <row r="106" spans="1:32">
      <c r="A106" s="880" t="s">
        <v>991</v>
      </c>
      <c r="B106" s="193" t="s">
        <v>1475</v>
      </c>
      <c r="D106" s="41"/>
      <c r="E106" s="363"/>
      <c r="G106" s="185">
        <f t="shared" ref="G106:M106" ca="1" si="43">(G104/10000)*$F$13*G40</f>
        <v>4.4922253250504989</v>
      </c>
      <c r="H106" s="185">
        <f t="shared" ca="1" si="43"/>
        <v>4.4922253250504989</v>
      </c>
      <c r="I106" s="185">
        <f t="shared" ca="1" si="43"/>
        <v>4.4922253250504989</v>
      </c>
      <c r="J106" s="185">
        <f t="shared" ca="1" si="43"/>
        <v>4.4922253250504989</v>
      </c>
      <c r="K106" s="185">
        <f t="shared" ca="1" si="43"/>
        <v>4.4922253250504989</v>
      </c>
      <c r="L106" s="185">
        <f t="shared" ca="1" si="43"/>
        <v>4.4922253250504989</v>
      </c>
      <c r="M106" s="185">
        <f t="shared" ca="1" si="43"/>
        <v>4.4922253250504989</v>
      </c>
      <c r="N106" s="239"/>
      <c r="O106" s="98"/>
      <c r="P106" s="17"/>
      <c r="Q106" s="17"/>
      <c r="R106" s="21"/>
      <c r="S106" s="21"/>
      <c r="T106" s="21"/>
      <c r="U106" s="21"/>
      <c r="V106" s="21"/>
      <c r="W106" s="21"/>
      <c r="X106" s="21"/>
      <c r="Y106" s="17"/>
      <c r="Z106" s="17"/>
      <c r="AA106" s="17"/>
      <c r="AB106" s="17"/>
      <c r="AC106" s="17"/>
      <c r="AD106" s="17"/>
      <c r="AE106" s="17"/>
      <c r="AF106" s="17"/>
    </row>
    <row r="107" spans="1:32">
      <c r="A107" s="880" t="s">
        <v>991</v>
      </c>
      <c r="B107" s="193" t="s">
        <v>1467</v>
      </c>
      <c r="D107" s="17"/>
      <c r="E107" s="17"/>
      <c r="G107" s="185">
        <f t="shared" ref="G107:M107" ca="1" si="44">(G105/10000)*$F$19*G42</f>
        <v>5.1750435744581758</v>
      </c>
      <c r="H107" s="185">
        <f t="shared" ca="1" si="44"/>
        <v>5.1750435744581758</v>
      </c>
      <c r="I107" s="185">
        <f t="shared" ca="1" si="44"/>
        <v>5.1750435744581758</v>
      </c>
      <c r="J107" s="185">
        <f t="shared" ca="1" si="44"/>
        <v>5.1750435744581758</v>
      </c>
      <c r="K107" s="185">
        <f t="shared" ca="1" si="44"/>
        <v>5.1750435744581758</v>
      </c>
      <c r="L107" s="185">
        <f t="shared" ca="1" si="44"/>
        <v>5.1750435744581758</v>
      </c>
      <c r="M107" s="185">
        <f t="shared" ca="1" si="44"/>
        <v>5.1750435744581758</v>
      </c>
      <c r="N107" s="98"/>
      <c r="O107" s="98"/>
      <c r="P107" s="17"/>
      <c r="Q107" s="17"/>
      <c r="R107" s="17"/>
      <c r="S107" s="17"/>
      <c r="T107" s="17"/>
      <c r="U107" s="17"/>
      <c r="V107" s="17"/>
      <c r="W107" s="17"/>
      <c r="X107" s="17"/>
      <c r="Y107" s="17"/>
      <c r="Z107" s="17"/>
      <c r="AA107" s="17"/>
      <c r="AB107" s="17"/>
      <c r="AC107" s="17"/>
      <c r="AD107" s="17"/>
      <c r="AE107" s="17"/>
      <c r="AF107" s="17"/>
    </row>
    <row r="108" spans="1:32" ht="14">
      <c r="B108" s="164" t="s">
        <v>1476</v>
      </c>
      <c r="G108" s="398"/>
      <c r="H108" s="398"/>
      <c r="I108" s="398"/>
      <c r="J108" s="398"/>
      <c r="K108" s="398"/>
      <c r="L108" s="398"/>
      <c r="M108" s="398"/>
      <c r="N108" s="408"/>
      <c r="O108" s="408"/>
      <c r="P108" s="379"/>
    </row>
    <row r="109" spans="1:32">
      <c r="B109" s="853" t="s">
        <v>1373</v>
      </c>
      <c r="G109" s="399" t="str">
        <f t="shared" ref="G109:M109" si="45">IF(G100=" "," ",G13/$F13/G100*10000)</f>
        <v xml:space="preserve"> </v>
      </c>
      <c r="H109" s="399" t="str">
        <f t="shared" si="45"/>
        <v xml:space="preserve"> </v>
      </c>
      <c r="I109" s="399" t="str">
        <f t="shared" si="45"/>
        <v xml:space="preserve"> </v>
      </c>
      <c r="J109" s="399" t="str">
        <f t="shared" si="45"/>
        <v xml:space="preserve"> </v>
      </c>
      <c r="K109" s="399" t="str">
        <f t="shared" si="45"/>
        <v xml:space="preserve"> </v>
      </c>
      <c r="L109" s="399" t="str">
        <f t="shared" si="45"/>
        <v xml:space="preserve"> </v>
      </c>
      <c r="M109" s="399" t="str">
        <f t="shared" si="45"/>
        <v xml:space="preserve"> </v>
      </c>
      <c r="N109" s="364"/>
      <c r="O109" s="364"/>
      <c r="P109" s="171"/>
    </row>
    <row r="110" spans="1:32">
      <c r="B110" s="853" t="s">
        <v>619</v>
      </c>
      <c r="G110" s="399">
        <f ca="1">IF(   Dashboard!$D56=0, Chem!$C71 * (G65*1000) * ((1/G69)* (1/G73) * (1/G149)) * (1/G46) * (100/G52) * (100/(100-G52)),   G95 * (G65*1000) * ((1/G69) * (1/G73) * (1/G149)) * (1/G46) * (100/G52) * (100/(100-G52))   )</f>
        <v>8830.3763973278183</v>
      </c>
      <c r="H110" s="399">
        <f ca="1">IF(   Dashboard!$D56=0, Chem!$C71 * (H65*1000) * ((1/H69)* (1/H73) * (1/H149)) * (1/H46) * (100/H52) * (100/(100-H52)),   H95 * (H65*1000) * ((1/H69) * (1/H73) * (1/H149)) * (1/H46) * (100/H52) * (100/(100-H52))   )</f>
        <v>8830.3763973278183</v>
      </c>
      <c r="I110" s="399">
        <f ca="1">IF(   Dashboard!$D56=0, Chem!$C71 * (I65*1000) * ((1/I69)* (1/I73) * (1/I149)) * (1/I46) * (100/I52) * (100/(100-I52)),   I95 * (I65*1000) * ((1/I69) * (1/I73) * (1/I149)) * (1/I46) * (100/I52) * (100/(100-I52))   )</f>
        <v>8830.3763973278183</v>
      </c>
      <c r="J110" s="399">
        <f ca="1">IF(   Dashboard!$D56=0, Chem!$C71 * (J65*1000) * ((1/J69)* (1/J73) * (1/J149)) * (1/J46) * (100/J52) * (100/(100-J52)),   J95 * (J65*1000) * ((1/J69) * (1/J73) * (1/J149)) * (1/J46) * (100/J52) * (100/(100-J52))   )</f>
        <v>8830.3763973278183</v>
      </c>
      <c r="K110" s="399">
        <f ca="1">IF(   Dashboard!$D56=0, Chem!$C71 * (K65*1000) * ((1/K69)* (1/K73) * (1/K149)) * (1/K46) * (100/K52) * (100/(100-K52)),   K95 * (K65*1000) * ((1/K69) * (1/K73) * (1/K149)) * (1/K46) * (100/K52) * (100/(100-K52))   )</f>
        <v>8830.3763973278183</v>
      </c>
      <c r="L110" s="399">
        <f ca="1">IF(   Dashboard!$D56=0, Chem!$C71 * (L65*1000) * ((1/L69)* (1/L73) * (1/L149)) * (1/L46) * (100/L52) * (100/(100-L52)),   L95 * (L65*1000) * ((1/L69) * (1/L73) * (1/L149)) * (1/L46) * (100/L52) * (100/(100-L52))   )</f>
        <v>8830.3763973278183</v>
      </c>
      <c r="M110" s="399">
        <f ca="1">IF(   Dashboard!$D56=0, Chem!$C71 * (M65*1000) * ((1/M69)* (1/M73) * (1/M149)) * (1/M46) * (100/M52) * (100/(100-M52)),   M95 * (M65*1000) * ((1/M69) * (1/M73) * (1/M149)) * (1/M46) * (100/M52) * (100/(100-M52))   )</f>
        <v>8830.3763973278183</v>
      </c>
      <c r="N110" s="364"/>
      <c r="O110" s="364"/>
      <c r="P110" s="171"/>
    </row>
    <row r="111" spans="1:32">
      <c r="B111" s="17" t="s">
        <v>693</v>
      </c>
      <c r="D111" s="165"/>
      <c r="G111" s="399">
        <f ca="1">IF(Dashboard!$D56=0,G110,IF(OR(G62="EV",G62="PHEV"),G13/$F13/MIN(G101:G102)*10000," "))</f>
        <v>17936.216764439167</v>
      </c>
      <c r="H111" s="399">
        <f ca="1">IF(Dashboard!$D56=0,H110,IF(OR(H62="EV",H62="PHEV"),H13/$F13/MIN(H101:H102)*10000," "))</f>
        <v>17936.216764439167</v>
      </c>
      <c r="I111" s="399">
        <f ca="1">IF(Dashboard!$D56=0,I110,IF(OR(I62="EV",I62="PHEV"),I13/$F13/MIN(I101:I102)*10000," "))</f>
        <v>17936.216764439167</v>
      </c>
      <c r="J111" s="399">
        <f ca="1">IF(Dashboard!$D56=0,J110,IF(OR(J62="EV",J62="PHEV"),J13/$F13/MIN(J101:J102)*10000," "))</f>
        <v>17936.216764439167</v>
      </c>
      <c r="K111" s="399">
        <f ca="1">IF(Dashboard!$D56=0,K110,IF(OR(K62="EV",K62="PHEV"),K13/$F13/MIN(K101:K102)*10000," "))</f>
        <v>17936.216764439167</v>
      </c>
      <c r="L111" s="399">
        <f ca="1">IF(Dashboard!$D56=0,L110,IF(OR(L62="EV",L62="PHEV"),L13/$F13/MIN(L101:L102)*10000," "))</f>
        <v>17936.216764439167</v>
      </c>
      <c r="M111" s="399">
        <f ca="1">IF(Dashboard!$D56=0,M110,IF(OR(M62="EV",M62="PHEV"),M13/$F13/MIN(M101:M102)*10000," "))</f>
        <v>17936.216764439167</v>
      </c>
      <c r="N111" s="364"/>
      <c r="O111" s="364"/>
      <c r="P111" s="171"/>
    </row>
    <row r="112" spans="1:32">
      <c r="B112" s="853" t="s">
        <v>662</v>
      </c>
      <c r="D112" s="165"/>
      <c r="G112" s="399">
        <f ca="1">IF(G100=" ",MAX(G110,G111),G109)</f>
        <v>17936.216764439167</v>
      </c>
      <c r="H112" s="399">
        <f t="shared" ref="H112:M112" ca="1" si="46">IF(H100=" ",MAX(H110,H111),H109)</f>
        <v>17936.216764439167</v>
      </c>
      <c r="I112" s="399">
        <f t="shared" ca="1" si="46"/>
        <v>17936.216764439167</v>
      </c>
      <c r="J112" s="399">
        <f t="shared" ca="1" si="46"/>
        <v>17936.216764439167</v>
      </c>
      <c r="K112" s="399">
        <f t="shared" ca="1" si="46"/>
        <v>17936.216764439167</v>
      </c>
      <c r="L112" s="399">
        <f t="shared" ca="1" si="46"/>
        <v>17936.216764439167</v>
      </c>
      <c r="M112" s="399">
        <f t="shared" ca="1" si="46"/>
        <v>17936.216764439167</v>
      </c>
      <c r="N112" s="364"/>
      <c r="O112" s="364"/>
    </row>
    <row r="113" spans="2:16" ht="14">
      <c r="B113" s="164" t="s">
        <v>204</v>
      </c>
      <c r="F113" s="25"/>
      <c r="G113" s="1083"/>
      <c r="H113" s="1083"/>
      <c r="I113" s="1083"/>
      <c r="J113" s="1083"/>
      <c r="K113" s="1083"/>
      <c r="L113" s="1083"/>
      <c r="M113" s="1083"/>
      <c r="N113" s="1084"/>
      <c r="O113" s="96"/>
    </row>
    <row r="114" spans="2:16">
      <c r="B114" s="96" t="s">
        <v>251</v>
      </c>
      <c r="D114" s="165"/>
      <c r="G114" s="234">
        <f t="shared" ref="G114:M114" ca="1" si="47">(G35*1000-2*G28-$E22)/($E21+$E22+2*($E23+G104+G105))*0.97</f>
        <v>50.008798034184125</v>
      </c>
      <c r="H114" s="234">
        <f t="shared" ca="1" si="47"/>
        <v>50.008798034184125</v>
      </c>
      <c r="I114" s="234">
        <f t="shared" ca="1" si="47"/>
        <v>50.008798034184125</v>
      </c>
      <c r="J114" s="234">
        <f t="shared" ca="1" si="47"/>
        <v>50.008798034184125</v>
      </c>
      <c r="K114" s="234">
        <f t="shared" ca="1" si="47"/>
        <v>50.008798034184125</v>
      </c>
      <c r="L114" s="234">
        <f t="shared" ca="1" si="47"/>
        <v>50.008798034184125</v>
      </c>
      <c r="M114" s="234">
        <f t="shared" ca="1" si="47"/>
        <v>50.008798034184125</v>
      </c>
      <c r="N114" s="239"/>
      <c r="O114" s="96"/>
    </row>
    <row r="115" spans="2:16">
      <c r="B115" s="96" t="s">
        <v>207</v>
      </c>
      <c r="D115" s="165"/>
      <c r="G115" s="1085">
        <f t="shared" ref="G115:M115" ca="1" si="48">(G112/G114/2/G32)^0.5*10</f>
        <v>77.315503513678664</v>
      </c>
      <c r="H115" s="1085">
        <f t="shared" ca="1" si="48"/>
        <v>77.315503513678664</v>
      </c>
      <c r="I115" s="1085">
        <f t="shared" ca="1" si="48"/>
        <v>77.315503513678664</v>
      </c>
      <c r="J115" s="1085">
        <f t="shared" ca="1" si="48"/>
        <v>77.315503513678664</v>
      </c>
      <c r="K115" s="1085">
        <f t="shared" ca="1" si="48"/>
        <v>77.315503513678664</v>
      </c>
      <c r="L115" s="1085">
        <f t="shared" ca="1" si="48"/>
        <v>77.315503513678664</v>
      </c>
      <c r="M115" s="1085">
        <f t="shared" ca="1" si="48"/>
        <v>77.315503513678664</v>
      </c>
      <c r="N115" s="1086"/>
      <c r="O115" s="96"/>
    </row>
    <row r="116" spans="2:16">
      <c r="B116" s="96" t="s">
        <v>208</v>
      </c>
      <c r="D116" s="165"/>
      <c r="G116" s="1085">
        <f t="shared" ref="G116:M116" ca="1" si="49">G115*G32</f>
        <v>231.94651054103599</v>
      </c>
      <c r="H116" s="1085">
        <f t="shared" ca="1" si="49"/>
        <v>231.94651054103599</v>
      </c>
      <c r="I116" s="1085">
        <f t="shared" ca="1" si="49"/>
        <v>231.94651054103599</v>
      </c>
      <c r="J116" s="1085">
        <f t="shared" ca="1" si="49"/>
        <v>231.94651054103599</v>
      </c>
      <c r="K116" s="1085">
        <f t="shared" ca="1" si="49"/>
        <v>231.94651054103599</v>
      </c>
      <c r="L116" s="1085">
        <f t="shared" ca="1" si="49"/>
        <v>231.94651054103599</v>
      </c>
      <c r="M116" s="1085">
        <f t="shared" ca="1" si="49"/>
        <v>231.94651054103599</v>
      </c>
      <c r="N116" s="1086"/>
      <c r="O116" s="96"/>
    </row>
    <row r="117" spans="2:16">
      <c r="B117" s="96" t="s">
        <v>250</v>
      </c>
      <c r="D117" s="165"/>
      <c r="G117" s="1085">
        <f t="shared" ref="G117:M117" ca="1" si="50">G35+8</f>
        <v>28.018696318442373</v>
      </c>
      <c r="H117" s="1085">
        <f t="shared" ca="1" si="50"/>
        <v>28.018696318442373</v>
      </c>
      <c r="I117" s="1085">
        <f t="shared" ca="1" si="50"/>
        <v>28.018696318442373</v>
      </c>
      <c r="J117" s="1085">
        <f t="shared" ca="1" si="50"/>
        <v>28.018696318442373</v>
      </c>
      <c r="K117" s="1085">
        <f t="shared" ca="1" si="50"/>
        <v>28.018696318442373</v>
      </c>
      <c r="L117" s="1085">
        <f t="shared" ca="1" si="50"/>
        <v>28.018696318442373</v>
      </c>
      <c r="M117" s="1085">
        <f t="shared" ca="1" si="50"/>
        <v>28.018696318442373</v>
      </c>
      <c r="N117" s="1086"/>
      <c r="O117" s="96"/>
    </row>
    <row r="118" spans="2:16">
      <c r="B118" s="96" t="s">
        <v>213</v>
      </c>
      <c r="D118" s="165"/>
      <c r="G118" s="1085">
        <f t="shared" ref="G118:M118" ca="1" si="51">G115-8</f>
        <v>69.315503513678664</v>
      </c>
      <c r="H118" s="1085">
        <f t="shared" ca="1" si="51"/>
        <v>69.315503513678664</v>
      </c>
      <c r="I118" s="1085">
        <f t="shared" ca="1" si="51"/>
        <v>69.315503513678664</v>
      </c>
      <c r="J118" s="1085">
        <f t="shared" ca="1" si="51"/>
        <v>69.315503513678664</v>
      </c>
      <c r="K118" s="1085">
        <f t="shared" ca="1" si="51"/>
        <v>69.315503513678664</v>
      </c>
      <c r="L118" s="1085">
        <f t="shared" ca="1" si="51"/>
        <v>69.315503513678664</v>
      </c>
      <c r="M118" s="1085">
        <f t="shared" ca="1" si="51"/>
        <v>69.315503513678664</v>
      </c>
      <c r="N118" s="1086"/>
      <c r="O118" s="96"/>
    </row>
    <row r="119" spans="2:16">
      <c r="B119" s="96" t="s">
        <v>247</v>
      </c>
      <c r="D119" s="165"/>
      <c r="G119" s="1085">
        <f t="shared" ref="G119:M119" ca="1" si="52">2*G35+10</f>
        <v>50.037392636884746</v>
      </c>
      <c r="H119" s="1085">
        <f t="shared" ca="1" si="52"/>
        <v>50.037392636884746</v>
      </c>
      <c r="I119" s="1085">
        <f t="shared" ca="1" si="52"/>
        <v>50.037392636884746</v>
      </c>
      <c r="J119" s="1085">
        <f t="shared" ca="1" si="52"/>
        <v>50.037392636884746</v>
      </c>
      <c r="K119" s="1085">
        <f t="shared" ca="1" si="52"/>
        <v>50.037392636884746</v>
      </c>
      <c r="L119" s="1085">
        <f t="shared" ca="1" si="52"/>
        <v>50.037392636884746</v>
      </c>
      <c r="M119" s="1085">
        <f t="shared" ca="1" si="52"/>
        <v>50.037392636884746</v>
      </c>
      <c r="N119" s="1086"/>
      <c r="O119" s="96"/>
    </row>
    <row r="120" spans="2:16">
      <c r="B120" s="96" t="s">
        <v>205</v>
      </c>
      <c r="D120" s="165"/>
      <c r="G120" s="1085">
        <f t="shared" ref="G120:M120" ca="1" si="53">G115+2*G36</f>
        <v>79.315503513678664</v>
      </c>
      <c r="H120" s="1085">
        <f t="shared" ca="1" si="53"/>
        <v>79.315503513678664</v>
      </c>
      <c r="I120" s="1085">
        <f t="shared" ca="1" si="53"/>
        <v>79.315503513678664</v>
      </c>
      <c r="J120" s="1085">
        <f t="shared" ca="1" si="53"/>
        <v>79.315503513678664</v>
      </c>
      <c r="K120" s="1085">
        <f t="shared" ca="1" si="53"/>
        <v>79.315503513678664</v>
      </c>
      <c r="L120" s="1085">
        <f t="shared" ca="1" si="53"/>
        <v>79.315503513678664</v>
      </c>
      <c r="M120" s="1085">
        <f t="shared" ca="1" si="53"/>
        <v>79.315503513678664</v>
      </c>
      <c r="N120" s="1086"/>
      <c r="O120" s="96"/>
    </row>
    <row r="121" spans="2:16">
      <c r="B121" s="96" t="s">
        <v>206</v>
      </c>
      <c r="D121" s="165"/>
      <c r="G121" s="1085">
        <f t="shared" ref="G121:M121" ca="1" si="54">G116+2*G38</f>
        <v>261.94651054103599</v>
      </c>
      <c r="H121" s="1085">
        <f t="shared" ca="1" si="54"/>
        <v>261.94651054103599</v>
      </c>
      <c r="I121" s="1085">
        <f t="shared" ca="1" si="54"/>
        <v>261.94651054103599</v>
      </c>
      <c r="J121" s="1085">
        <f t="shared" ca="1" si="54"/>
        <v>261.94651054103599</v>
      </c>
      <c r="K121" s="1085">
        <f t="shared" ca="1" si="54"/>
        <v>261.94651054103599</v>
      </c>
      <c r="L121" s="1085">
        <f t="shared" ca="1" si="54"/>
        <v>261.94651054103599</v>
      </c>
      <c r="M121" s="1085">
        <f t="shared" ca="1" si="54"/>
        <v>261.94651054103599</v>
      </c>
      <c r="N121" s="1086"/>
      <c r="O121" s="96"/>
    </row>
    <row r="122" spans="2:16" ht="15">
      <c r="B122" s="96" t="s">
        <v>212</v>
      </c>
      <c r="C122" s="255"/>
      <c r="D122" s="90"/>
      <c r="E122" s="255"/>
      <c r="G122" s="1085">
        <f t="shared" ref="G122:M122" ca="1" si="55">G35*G120*G121/1000</f>
        <v>415.91683009703678</v>
      </c>
      <c r="H122" s="1085">
        <f t="shared" ca="1" si="55"/>
        <v>415.91683009703678</v>
      </c>
      <c r="I122" s="1085">
        <f t="shared" ca="1" si="55"/>
        <v>415.91683009703678</v>
      </c>
      <c r="J122" s="1085">
        <f t="shared" ca="1" si="55"/>
        <v>415.91683009703678</v>
      </c>
      <c r="K122" s="1085">
        <f t="shared" ca="1" si="55"/>
        <v>415.91683009703678</v>
      </c>
      <c r="L122" s="1085">
        <f t="shared" ca="1" si="55"/>
        <v>415.91683009703678</v>
      </c>
      <c r="M122" s="1085">
        <f t="shared" ca="1" si="55"/>
        <v>415.91683009703678</v>
      </c>
      <c r="N122" s="1086"/>
      <c r="O122" s="96"/>
    </row>
    <row r="123" spans="2:16" ht="16">
      <c r="B123" s="13" t="s">
        <v>256</v>
      </c>
      <c r="D123" s="165"/>
      <c r="G123" s="90"/>
      <c r="H123" s="90"/>
      <c r="I123" s="90"/>
      <c r="J123" s="90"/>
      <c r="K123" s="90"/>
      <c r="L123" s="90"/>
      <c r="M123" s="90"/>
      <c r="N123" s="271"/>
      <c r="O123" s="96"/>
    </row>
    <row r="124" spans="2:16">
      <c r="B124" s="853" t="s">
        <v>487</v>
      </c>
      <c r="G124" s="162">
        <f ca="1">G81</f>
        <v>309.40234438966644</v>
      </c>
      <c r="H124" s="162">
        <f t="shared" ref="H124:M124" ca="1" si="56">H81</f>
        <v>309.40234438966644</v>
      </c>
      <c r="I124" s="162">
        <f t="shared" ca="1" si="56"/>
        <v>309.40234438966644</v>
      </c>
      <c r="J124" s="162">
        <f t="shared" ca="1" si="56"/>
        <v>309.40234438966644</v>
      </c>
      <c r="K124" s="162">
        <f t="shared" ca="1" si="56"/>
        <v>309.40234438966644</v>
      </c>
      <c r="L124" s="162">
        <f t="shared" ca="1" si="56"/>
        <v>309.40234438966644</v>
      </c>
      <c r="M124" s="162">
        <f t="shared" ca="1" si="56"/>
        <v>309.40234438966644</v>
      </c>
      <c r="N124" s="239"/>
      <c r="O124" s="96"/>
    </row>
    <row r="125" spans="2:16">
      <c r="B125" s="853" t="s">
        <v>549</v>
      </c>
      <c r="D125" s="165"/>
      <c r="G125" s="162">
        <f t="shared" ref="G125:M125" ca="1" si="57">IF(G69=1,0,G69*G35*G37/2*G118*1.5/1000*_rho_Cu)</f>
        <v>37.298849683206953</v>
      </c>
      <c r="H125" s="162">
        <f t="shared" ca="1" si="57"/>
        <v>37.298849683206953</v>
      </c>
      <c r="I125" s="162">
        <f t="shared" ca="1" si="57"/>
        <v>37.298849683206953</v>
      </c>
      <c r="J125" s="162">
        <f t="shared" ca="1" si="57"/>
        <v>37.298849683206953</v>
      </c>
      <c r="K125" s="162">
        <f t="shared" ca="1" si="57"/>
        <v>37.298849683206953</v>
      </c>
      <c r="L125" s="162">
        <f t="shared" ca="1" si="57"/>
        <v>37.298849683206953</v>
      </c>
      <c r="M125" s="162">
        <f t="shared" ca="1" si="57"/>
        <v>37.298849683206953</v>
      </c>
      <c r="N125" s="239"/>
      <c r="O125" s="96"/>
    </row>
    <row r="126" spans="2:16">
      <c r="B126" s="853" t="s">
        <v>252</v>
      </c>
      <c r="D126" s="165"/>
      <c r="G126" s="260">
        <f t="shared" ref="G126:M126" si="58">8*G68/G69</f>
        <v>40</v>
      </c>
      <c r="H126" s="260">
        <f t="shared" si="58"/>
        <v>40</v>
      </c>
      <c r="I126" s="260">
        <f t="shared" si="58"/>
        <v>40</v>
      </c>
      <c r="J126" s="260">
        <f t="shared" si="58"/>
        <v>40</v>
      </c>
      <c r="K126" s="260">
        <f t="shared" si="58"/>
        <v>40</v>
      </c>
      <c r="L126" s="260">
        <f t="shared" si="58"/>
        <v>40</v>
      </c>
      <c r="M126" s="260">
        <f t="shared" si="58"/>
        <v>40</v>
      </c>
      <c r="N126" s="273"/>
      <c r="O126" s="96"/>
    </row>
    <row r="127" spans="2:16">
      <c r="B127" s="853" t="s">
        <v>260</v>
      </c>
      <c r="D127" s="165"/>
      <c r="G127" s="1087">
        <f t="shared" ref="G127:M127" si="59">G51*_Cp_Cu</f>
        <v>1.9274000000000003E-2</v>
      </c>
      <c r="H127" s="1087">
        <f t="shared" si="59"/>
        <v>1.9274000000000003E-2</v>
      </c>
      <c r="I127" s="1087">
        <f t="shared" si="59"/>
        <v>1.9274000000000003E-2</v>
      </c>
      <c r="J127" s="1087">
        <f t="shared" si="59"/>
        <v>1.9274000000000003E-2</v>
      </c>
      <c r="K127" s="1087">
        <f t="shared" si="59"/>
        <v>1.9274000000000003E-2</v>
      </c>
      <c r="L127" s="1087">
        <f t="shared" si="59"/>
        <v>1.9274000000000003E-2</v>
      </c>
      <c r="M127" s="1087">
        <f t="shared" si="59"/>
        <v>1.9274000000000003E-2</v>
      </c>
      <c r="N127" s="1088"/>
      <c r="O127" s="96"/>
    </row>
    <row r="128" spans="2:16">
      <c r="B128" s="853" t="s">
        <v>271</v>
      </c>
      <c r="D128" s="165"/>
      <c r="G128" s="749">
        <f t="shared" ref="G128" si="60">(G127*_rho_Cu/(_Conductivity_Cu/100))^0.5</f>
        <v>5.3829060787226259E-4</v>
      </c>
      <c r="H128" s="749">
        <f t="shared" ref="H128:M128" si="61">(H127*_rho_Cu/(_Conductivity_Cu/100))^0.5</f>
        <v>5.3829060787226259E-4</v>
      </c>
      <c r="I128" s="749">
        <f t="shared" si="61"/>
        <v>5.3829060787226259E-4</v>
      </c>
      <c r="J128" s="749">
        <f t="shared" si="61"/>
        <v>5.3829060787226259E-4</v>
      </c>
      <c r="K128" s="749">
        <f t="shared" si="61"/>
        <v>5.3829060787226259E-4</v>
      </c>
      <c r="L128" s="749">
        <f t="shared" si="61"/>
        <v>5.3829060787226259E-4</v>
      </c>
      <c r="M128" s="749">
        <f t="shared" si="61"/>
        <v>5.3829060787226259E-4</v>
      </c>
      <c r="N128" s="628"/>
      <c r="O128" s="245"/>
      <c r="P128" s="168"/>
    </row>
    <row r="129" spans="1:15">
      <c r="B129" s="853" t="s">
        <v>650</v>
      </c>
      <c r="D129" s="165"/>
      <c r="G129" s="260">
        <f t="shared" ref="G129:M129" ca="1" si="62">IF(G72=1,0,2)*(2/G127*G165*G128)/0.8</f>
        <v>141.23345139100979</v>
      </c>
      <c r="H129" s="260">
        <f t="shared" ca="1" si="62"/>
        <v>141.23345139100979</v>
      </c>
      <c r="I129" s="260">
        <f t="shared" ca="1" si="62"/>
        <v>141.23345139100979</v>
      </c>
      <c r="J129" s="260">
        <f t="shared" ca="1" si="62"/>
        <v>141.23345139100979</v>
      </c>
      <c r="K129" s="260">
        <f t="shared" ca="1" si="62"/>
        <v>141.23345139100979</v>
      </c>
      <c r="L129" s="260">
        <f t="shared" ca="1" si="62"/>
        <v>141.23345139100979</v>
      </c>
      <c r="M129" s="260">
        <f t="shared" ca="1" si="62"/>
        <v>141.23345139100979</v>
      </c>
      <c r="N129" s="273"/>
      <c r="O129" s="96"/>
    </row>
    <row r="130" spans="1:15">
      <c r="B130" s="853" t="s">
        <v>258</v>
      </c>
      <c r="D130" s="165"/>
      <c r="G130" s="1089">
        <f t="shared" ref="G130:M130" ca="1" si="63">IF(G72=1,0,2)*(2/G165*G128)</f>
        <v>2.1288946632563603E-6</v>
      </c>
      <c r="H130" s="1089">
        <f t="shared" ca="1" si="63"/>
        <v>2.1288946632563603E-6</v>
      </c>
      <c r="I130" s="1089">
        <f t="shared" ca="1" si="63"/>
        <v>2.1288946632563603E-6</v>
      </c>
      <c r="J130" s="1089">
        <f t="shared" ca="1" si="63"/>
        <v>2.1288946632563603E-6</v>
      </c>
      <c r="K130" s="1089">
        <f t="shared" ca="1" si="63"/>
        <v>2.1288946632563603E-6</v>
      </c>
      <c r="L130" s="1089">
        <f t="shared" ca="1" si="63"/>
        <v>2.1288946632563603E-6</v>
      </c>
      <c r="M130" s="1089">
        <f t="shared" ca="1" si="63"/>
        <v>2.1288946632563603E-6</v>
      </c>
      <c r="N130" s="1090"/>
      <c r="O130" s="96"/>
    </row>
    <row r="131" spans="1:15">
      <c r="B131" s="853" t="s">
        <v>503</v>
      </c>
      <c r="D131" s="165"/>
      <c r="G131" s="1089">
        <f t="shared" ref="G131:M131" ca="1" si="64">G92*G68/G69^2+G130</f>
        <v>1.3139271749785345E-4</v>
      </c>
      <c r="H131" s="1089">
        <f t="shared" ca="1" si="64"/>
        <v>1.3139271749785345E-4</v>
      </c>
      <c r="I131" s="1089">
        <f t="shared" ca="1" si="64"/>
        <v>1.3139271749785345E-4</v>
      </c>
      <c r="J131" s="1089">
        <f t="shared" ca="1" si="64"/>
        <v>1.3139271749785345E-4</v>
      </c>
      <c r="K131" s="1089">
        <f t="shared" ca="1" si="64"/>
        <v>1.3139271749785345E-4</v>
      </c>
      <c r="L131" s="1089">
        <f t="shared" ca="1" si="64"/>
        <v>1.3139271749785345E-4</v>
      </c>
      <c r="M131" s="1089">
        <f t="shared" ca="1" si="64"/>
        <v>1.3139271749785345E-4</v>
      </c>
      <c r="N131" s="1090"/>
      <c r="O131" s="1090"/>
    </row>
    <row r="132" spans="1:15">
      <c r="B132" s="853" t="s">
        <v>396</v>
      </c>
      <c r="D132" s="165"/>
      <c r="G132" s="1089" t="str">
        <f t="shared" ref="G132:M132" si="65">IF(G63="EG-W","aluminum","polymer")</f>
        <v>aluminum</v>
      </c>
      <c r="H132" s="1089" t="str">
        <f t="shared" si="65"/>
        <v>aluminum</v>
      </c>
      <c r="I132" s="1089" t="str">
        <f t="shared" si="65"/>
        <v>aluminum</v>
      </c>
      <c r="J132" s="1089" t="str">
        <f t="shared" si="65"/>
        <v>aluminum</v>
      </c>
      <c r="K132" s="1089" t="str">
        <f t="shared" si="65"/>
        <v>aluminum</v>
      </c>
      <c r="L132" s="1089" t="str">
        <f t="shared" si="65"/>
        <v>aluminum</v>
      </c>
      <c r="M132" s="1089" t="str">
        <f t="shared" si="65"/>
        <v>aluminum</v>
      </c>
      <c r="N132" s="1090"/>
      <c r="O132" s="96"/>
    </row>
    <row r="133" spans="1:15">
      <c r="B133" s="853" t="s">
        <v>397</v>
      </c>
      <c r="D133" s="165"/>
      <c r="G133" s="1091">
        <f>0.5</f>
        <v>0.5</v>
      </c>
      <c r="H133" s="1091">
        <f t="shared" ref="H133:M133" si="66">0.5</f>
        <v>0.5</v>
      </c>
      <c r="I133" s="1091">
        <f t="shared" si="66"/>
        <v>0.5</v>
      </c>
      <c r="J133" s="1091">
        <f t="shared" si="66"/>
        <v>0.5</v>
      </c>
      <c r="K133" s="1091">
        <f t="shared" si="66"/>
        <v>0.5</v>
      </c>
      <c r="L133" s="1091">
        <f t="shared" si="66"/>
        <v>0.5</v>
      </c>
      <c r="M133" s="1091">
        <f t="shared" si="66"/>
        <v>0.5</v>
      </c>
      <c r="N133" s="365"/>
      <c r="O133" s="96"/>
    </row>
    <row r="134" spans="1:15">
      <c r="B134" s="96" t="s">
        <v>623</v>
      </c>
      <c r="D134" s="165"/>
      <c r="G134" s="1085">
        <f t="shared" ref="G134:M134" ca="1" si="67">IF(G63="EG-W",G116,G116+12)</f>
        <v>231.94651054103599</v>
      </c>
      <c r="H134" s="1085">
        <f t="shared" ca="1" si="67"/>
        <v>231.94651054103599</v>
      </c>
      <c r="I134" s="1085">
        <f t="shared" ca="1" si="67"/>
        <v>231.94651054103599</v>
      </c>
      <c r="J134" s="1085">
        <f t="shared" ca="1" si="67"/>
        <v>231.94651054103599</v>
      </c>
      <c r="K134" s="1085">
        <f t="shared" ca="1" si="67"/>
        <v>231.94651054103599</v>
      </c>
      <c r="L134" s="1085">
        <f t="shared" ca="1" si="67"/>
        <v>231.94651054103599</v>
      </c>
      <c r="M134" s="1085">
        <f t="shared" ca="1" si="67"/>
        <v>231.94651054103599</v>
      </c>
      <c r="N134" s="1086"/>
      <c r="O134" s="96"/>
    </row>
    <row r="135" spans="1:15">
      <c r="B135" s="96" t="s">
        <v>414</v>
      </c>
      <c r="D135" s="165"/>
      <c r="G135" s="259">
        <f>IF(G63="EG-W",IF(Thermal!G72=0,Thermal!G73*10,Thermal!G72*10),Thermal!G125)</f>
        <v>0.4</v>
      </c>
      <c r="H135" s="259">
        <f>IF(H63="EG-W",IF(Thermal!H72=0,Thermal!H73*10,Thermal!H72*10),Thermal!H125)</f>
        <v>0.4</v>
      </c>
      <c r="I135" s="259">
        <f>IF(I63="EG-W",IF(Thermal!I72=0,Thermal!I73*10,Thermal!I72*10),Thermal!I125)</f>
        <v>0.4</v>
      </c>
      <c r="J135" s="259">
        <f>IF(J63="EG-W",IF(Thermal!J72=0,Thermal!J73*10,Thermal!J72*10),Thermal!J125)</f>
        <v>0.4</v>
      </c>
      <c r="K135" s="259">
        <f>IF(K63="EG-W",IF(Thermal!K72=0,Thermal!K73*10,Thermal!K72*10),Thermal!K125)</f>
        <v>0.4</v>
      </c>
      <c r="L135" s="259">
        <f>IF(L63="EG-W",IF(Thermal!L72=0,Thermal!L73*10,Thermal!L72*10),Thermal!L125)</f>
        <v>0.4</v>
      </c>
      <c r="M135" s="259">
        <f>IF(M63="EG-W",IF(Thermal!M72=0,Thermal!M73*10,Thermal!M72*10),Thermal!M125)</f>
        <v>0.4</v>
      </c>
      <c r="N135" s="272"/>
      <c r="O135" s="96"/>
    </row>
    <row r="136" spans="1:15">
      <c r="B136" s="853" t="s">
        <v>681</v>
      </c>
      <c r="D136" s="165"/>
      <c r="G136" s="260">
        <f t="shared" ref="G136:M136" ca="1" si="68">IF(G63="EG-W",(G68+1)*G134*((G120+2*G135)+0.95*G35*2)*G135/1000*_rho_Al,(G68+1)*G134*(2*G120+2*G35+2*G135)*G135/1000*_rho_Al)</f>
        <v>621.53901144902659</v>
      </c>
      <c r="H136" s="260">
        <f t="shared" ca="1" si="68"/>
        <v>621.53901144902659</v>
      </c>
      <c r="I136" s="260">
        <f t="shared" ca="1" si="68"/>
        <v>621.53901144902659</v>
      </c>
      <c r="J136" s="260">
        <f t="shared" ca="1" si="68"/>
        <v>621.53901144902659</v>
      </c>
      <c r="K136" s="260">
        <f t="shared" ca="1" si="68"/>
        <v>621.53901144902659</v>
      </c>
      <c r="L136" s="260">
        <f t="shared" ca="1" si="68"/>
        <v>621.53901144902659</v>
      </c>
      <c r="M136" s="260">
        <f t="shared" ca="1" si="68"/>
        <v>621.53901144902659</v>
      </c>
      <c r="N136" s="273"/>
      <c r="O136" s="96"/>
    </row>
    <row r="137" spans="1:15">
      <c r="B137" s="853" t="s">
        <v>596</v>
      </c>
      <c r="D137" s="165"/>
      <c r="G137" s="780">
        <f ca="1">1*G139*4*G141/1000*2*_rho_PE</f>
        <v>18.567041300090917</v>
      </c>
      <c r="H137" s="780">
        <f ca="1">1*H139*4*H141/1000*2*_rho_PE</f>
        <v>18.567041300090917</v>
      </c>
      <c r="I137" s="780">
        <f t="shared" ref="I137:M137" ca="1" si="69">1*I139*4*I141/1000*2*_rho_PE</f>
        <v>18.567041300090917</v>
      </c>
      <c r="J137" s="780">
        <f t="shared" ca="1" si="69"/>
        <v>18.567041300090917</v>
      </c>
      <c r="K137" s="780">
        <f t="shared" ca="1" si="69"/>
        <v>18.567041300090917</v>
      </c>
      <c r="L137" s="780">
        <f t="shared" ca="1" si="69"/>
        <v>18.567041300090917</v>
      </c>
      <c r="M137" s="780">
        <f t="shared" ca="1" si="69"/>
        <v>18.567041300090917</v>
      </c>
      <c r="N137" s="627"/>
      <c r="O137" s="96"/>
    </row>
    <row r="138" spans="1:15">
      <c r="B138" s="853" t="s">
        <v>597</v>
      </c>
      <c r="D138" s="165"/>
      <c r="G138" s="260">
        <f t="shared" ref="G138:M138" ca="1" si="70">IF(G63="EG-W",_rho_Al,_R)*G133*(G140*G141+G140*G142+IF(G63="CA",0,G141*G142))*2/1000</f>
        <v>466.50791935103769</v>
      </c>
      <c r="H138" s="260">
        <f t="shared" ca="1" si="70"/>
        <v>466.50791935103769</v>
      </c>
      <c r="I138" s="260">
        <f t="shared" ca="1" si="70"/>
        <v>466.50791935103769</v>
      </c>
      <c r="J138" s="260">
        <f t="shared" ca="1" si="70"/>
        <v>466.50791935103769</v>
      </c>
      <c r="K138" s="260">
        <f t="shared" ca="1" si="70"/>
        <v>466.50791935103769</v>
      </c>
      <c r="L138" s="260">
        <f t="shared" ca="1" si="70"/>
        <v>466.50791935103769</v>
      </c>
      <c r="M138" s="260">
        <f t="shared" ca="1" si="70"/>
        <v>466.50791935103769</v>
      </c>
      <c r="N138" s="273"/>
      <c r="O138" s="96"/>
    </row>
    <row r="139" spans="1:15">
      <c r="B139" s="853" t="s">
        <v>595</v>
      </c>
      <c r="D139" s="165"/>
      <c r="G139" s="260">
        <f>6</f>
        <v>6</v>
      </c>
      <c r="H139" s="260">
        <f>6</f>
        <v>6</v>
      </c>
      <c r="I139" s="260">
        <f>6</f>
        <v>6</v>
      </c>
      <c r="J139" s="260">
        <f>6</f>
        <v>6</v>
      </c>
      <c r="K139" s="260">
        <f>6</f>
        <v>6</v>
      </c>
      <c r="L139" s="260">
        <f>6</f>
        <v>6</v>
      </c>
      <c r="M139" s="260">
        <f>6</f>
        <v>6</v>
      </c>
      <c r="N139" s="273"/>
      <c r="O139" s="96"/>
    </row>
    <row r="140" spans="1:15">
      <c r="B140" s="853" t="s">
        <v>218</v>
      </c>
      <c r="D140" s="165"/>
      <c r="G140" s="260">
        <f t="shared" ref="G140:M140" ca="1" si="71">G121+G139+2</f>
        <v>269.94651054103599</v>
      </c>
      <c r="H140" s="260">
        <f t="shared" ca="1" si="71"/>
        <v>269.94651054103599</v>
      </c>
      <c r="I140" s="260">
        <f t="shared" ca="1" si="71"/>
        <v>269.94651054103599</v>
      </c>
      <c r="J140" s="260">
        <f t="shared" ca="1" si="71"/>
        <v>269.94651054103599</v>
      </c>
      <c r="K140" s="260">
        <f t="shared" ca="1" si="71"/>
        <v>269.94651054103599</v>
      </c>
      <c r="L140" s="260">
        <f t="shared" ca="1" si="71"/>
        <v>269.94651054103599</v>
      </c>
      <c r="M140" s="260">
        <f t="shared" ca="1" si="71"/>
        <v>269.94651054103599</v>
      </c>
      <c r="N140" s="273"/>
      <c r="O140" s="96"/>
    </row>
    <row r="141" spans="1:15">
      <c r="B141" s="853" t="s">
        <v>219</v>
      </c>
      <c r="D141" s="165"/>
      <c r="G141" s="260">
        <f ca="1">IF(G63="EG-W",(G35+G135)*(G68+1)+2*G133,G68*Thermal!G127+Thermal!G128+2*G133)</f>
        <v>429.79262268728979</v>
      </c>
      <c r="H141" s="260">
        <f ca="1">IF(H63="EG-W",(H35+H135)*(H68+1)+2*H133,H68*Thermal!H127+Thermal!H128+2*H133)</f>
        <v>429.79262268728979</v>
      </c>
      <c r="I141" s="260">
        <f ca="1">IF(I63="EG-W",(I35+I135)*(I68+1)+2*I133,I68*Thermal!I127+Thermal!I128+2*I133)</f>
        <v>429.79262268728979</v>
      </c>
      <c r="J141" s="260">
        <f ca="1">IF(J63="EG-W",(J35+J135)*(J68+1)+2*J133,J68*Thermal!J127+Thermal!J128+2*J133)</f>
        <v>429.79262268728979</v>
      </c>
      <c r="K141" s="260">
        <f ca="1">IF(K63="EG-W",(K35+K135)*(K68+1)+2*K133,K68*Thermal!K127+Thermal!K128+2*K133)</f>
        <v>429.79262268728979</v>
      </c>
      <c r="L141" s="260">
        <f ca="1">IF(L63="EG-W",(L35+L135)*(L68+1)+2*L133,L68*Thermal!L127+Thermal!L128+2*L133)</f>
        <v>429.79262268728979</v>
      </c>
      <c r="M141" s="260">
        <f ca="1">IF(M63="EG-W",(M35+M135)*(M68+1)+2*M133,M68*Thermal!M127+Thermal!M128+2*M133)</f>
        <v>429.79262268728979</v>
      </c>
      <c r="N141" s="273"/>
      <c r="O141" s="96"/>
    </row>
    <row r="142" spans="1:15">
      <c r="B142" s="853" t="s">
        <v>220</v>
      </c>
      <c r="D142" s="165"/>
      <c r="G142" s="260">
        <f t="shared" ref="G142:M142" ca="1" si="72">G120+2*G135+2*G133</f>
        <v>81.115503513678661</v>
      </c>
      <c r="H142" s="260">
        <f t="shared" ca="1" si="72"/>
        <v>81.115503513678661</v>
      </c>
      <c r="I142" s="260">
        <f t="shared" ca="1" si="72"/>
        <v>81.115503513678661</v>
      </c>
      <c r="J142" s="260">
        <f t="shared" ca="1" si="72"/>
        <v>81.115503513678661</v>
      </c>
      <c r="K142" s="260">
        <f t="shared" ca="1" si="72"/>
        <v>81.115503513678661</v>
      </c>
      <c r="L142" s="260">
        <f t="shared" ca="1" si="72"/>
        <v>81.115503513678661</v>
      </c>
      <c r="M142" s="260">
        <f t="shared" ca="1" si="72"/>
        <v>81.115503513678661</v>
      </c>
      <c r="N142" s="273"/>
      <c r="O142" s="96"/>
    </row>
    <row r="143" spans="1:15">
      <c r="B143" s="853" t="s">
        <v>253</v>
      </c>
      <c r="D143" s="165"/>
      <c r="G143" s="1082">
        <f t="shared" ref="G143:M143" ca="1" si="73">G140*G141*G142/1000000</f>
        <v>9.4111033541341182</v>
      </c>
      <c r="H143" s="1082">
        <f t="shared" ca="1" si="73"/>
        <v>9.4111033541341182</v>
      </c>
      <c r="I143" s="1082">
        <f t="shared" ca="1" si="73"/>
        <v>9.4111033541341182</v>
      </c>
      <c r="J143" s="1082">
        <f t="shared" ca="1" si="73"/>
        <v>9.4111033541341182</v>
      </c>
      <c r="K143" s="1082">
        <f t="shared" ca="1" si="73"/>
        <v>9.4111033541341182</v>
      </c>
      <c r="L143" s="1082">
        <f t="shared" ca="1" si="73"/>
        <v>9.4111033541341182</v>
      </c>
      <c r="M143" s="1082">
        <f t="shared" ca="1" si="73"/>
        <v>9.4111033541341182</v>
      </c>
      <c r="N143" s="272"/>
      <c r="O143" s="96"/>
    </row>
    <row r="144" spans="1:15">
      <c r="A144" s="880" t="s">
        <v>991</v>
      </c>
      <c r="B144" s="853" t="s">
        <v>550</v>
      </c>
      <c r="D144" s="165"/>
      <c r="G144" s="1082">
        <f t="shared" ref="G144:M144" ca="1" si="74">(G125*G68/G69+G68*G31+G126+G129+G136+G137+G138)/1000</f>
        <v>22.70184826660379</v>
      </c>
      <c r="H144" s="1082">
        <f t="shared" ca="1" si="74"/>
        <v>22.70184826660379</v>
      </c>
      <c r="I144" s="1082">
        <f t="shared" ca="1" si="74"/>
        <v>22.70184826660379</v>
      </c>
      <c r="J144" s="1082">
        <f t="shared" ca="1" si="74"/>
        <v>22.70184826660379</v>
      </c>
      <c r="K144" s="1082">
        <f t="shared" ca="1" si="74"/>
        <v>22.70184826660379</v>
      </c>
      <c r="L144" s="1082">
        <f t="shared" ca="1" si="74"/>
        <v>22.70184826660379</v>
      </c>
      <c r="M144" s="1082">
        <f t="shared" ca="1" si="74"/>
        <v>22.70184826660379</v>
      </c>
      <c r="N144" s="272"/>
      <c r="O144" s="96"/>
    </row>
    <row r="145" spans="1:23" ht="16">
      <c r="B145" s="13" t="s">
        <v>461</v>
      </c>
      <c r="D145" s="165"/>
      <c r="G145" s="162"/>
      <c r="H145" s="162"/>
      <c r="I145" s="162"/>
      <c r="J145" s="162"/>
      <c r="K145" s="162"/>
      <c r="L145" s="162"/>
      <c r="M145" s="162"/>
      <c r="N145" s="239"/>
      <c r="O145" s="96"/>
    </row>
    <row r="146" spans="1:23">
      <c r="B146" s="853" t="s">
        <v>491</v>
      </c>
      <c r="G146" s="162">
        <f t="shared" ref="G146:M146" ca="1" si="75">G124*G73</f>
        <v>309.40234438966644</v>
      </c>
      <c r="H146" s="162">
        <f t="shared" ca="1" si="75"/>
        <v>309.40234438966644</v>
      </c>
      <c r="I146" s="162">
        <f t="shared" ca="1" si="75"/>
        <v>309.40234438966644</v>
      </c>
      <c r="J146" s="162">
        <f t="shared" ca="1" si="75"/>
        <v>309.40234438966644</v>
      </c>
      <c r="K146" s="162">
        <f t="shared" ca="1" si="75"/>
        <v>309.40234438966644</v>
      </c>
      <c r="L146" s="162">
        <f t="shared" ca="1" si="75"/>
        <v>309.40234438966644</v>
      </c>
      <c r="M146" s="162">
        <f t="shared" ca="1" si="75"/>
        <v>309.40234438966644</v>
      </c>
      <c r="N146" s="239"/>
      <c r="O146" s="96"/>
    </row>
    <row r="147" spans="1:23">
      <c r="B147" s="853" t="s">
        <v>694</v>
      </c>
      <c r="G147" s="185">
        <f ca="1">G81*G73*(G150-G74*G82/3*G96/G112/G69/G73)/1000</f>
        <v>99.999999999999957</v>
      </c>
      <c r="H147" s="185">
        <f t="shared" ref="H147:M147" ca="1" si="76">H81*H73*(H150-H74*H82/3*H96/H112/H69/H73)/1000</f>
        <v>99.999999999999957</v>
      </c>
      <c r="I147" s="185">
        <f t="shared" ca="1" si="76"/>
        <v>99.999999999999957</v>
      </c>
      <c r="J147" s="185">
        <f t="shared" ca="1" si="76"/>
        <v>99.999999999999957</v>
      </c>
      <c r="K147" s="185">
        <f t="shared" ca="1" si="76"/>
        <v>99.999999999999957</v>
      </c>
      <c r="L147" s="185">
        <f t="shared" ca="1" si="76"/>
        <v>99.999999999999957</v>
      </c>
      <c r="M147" s="185">
        <f t="shared" ca="1" si="76"/>
        <v>99.999999999999957</v>
      </c>
      <c r="N147" s="473"/>
      <c r="O147" s="96"/>
    </row>
    <row r="148" spans="1:23">
      <c r="B148" s="853" t="s">
        <v>289</v>
      </c>
      <c r="G148" s="185">
        <f t="shared" ref="G148:M148" ca="1" si="77">G147*G192/100</f>
        <v>84.999999999999957</v>
      </c>
      <c r="H148" s="185">
        <f t="shared" ca="1" si="77"/>
        <v>84.999999999999957</v>
      </c>
      <c r="I148" s="185">
        <f t="shared" ca="1" si="77"/>
        <v>84.999999999999957</v>
      </c>
      <c r="J148" s="185">
        <f t="shared" ca="1" si="77"/>
        <v>84.999999999999957</v>
      </c>
      <c r="K148" s="185">
        <f t="shared" ca="1" si="77"/>
        <v>84.999999999999957</v>
      </c>
      <c r="L148" s="185">
        <f t="shared" ca="1" si="77"/>
        <v>84.999999999999957</v>
      </c>
      <c r="M148" s="185">
        <f t="shared" ca="1" si="77"/>
        <v>84.999999999999957</v>
      </c>
      <c r="N148" s="76"/>
      <c r="O148" s="96"/>
    </row>
    <row r="149" spans="1:23">
      <c r="B149" s="853" t="s">
        <v>269</v>
      </c>
      <c r="G149" s="162">
        <f t="shared" ref="G149:M149" si="78">G74/G69*G46/G73</f>
        <v>324.60000000000002</v>
      </c>
      <c r="H149" s="162">
        <f t="shared" si="78"/>
        <v>324.60000000000002</v>
      </c>
      <c r="I149" s="162">
        <f t="shared" si="78"/>
        <v>324.60000000000002</v>
      </c>
      <c r="J149" s="162">
        <f t="shared" si="78"/>
        <v>324.60000000000002</v>
      </c>
      <c r="K149" s="162">
        <f t="shared" si="78"/>
        <v>324.60000000000002</v>
      </c>
      <c r="L149" s="162">
        <f t="shared" si="78"/>
        <v>324.60000000000002</v>
      </c>
      <c r="M149" s="162">
        <f t="shared" si="78"/>
        <v>324.60000000000002</v>
      </c>
      <c r="N149" s="239"/>
      <c r="O149" s="96"/>
    </row>
    <row r="150" spans="1:23">
      <c r="A150" s="880" t="s">
        <v>991</v>
      </c>
      <c r="B150" s="853" t="s">
        <v>700</v>
      </c>
      <c r="G150" s="165">
        <f t="shared" ref="G150:M150" si="79">G74/G69*G47/G73</f>
        <v>328.2</v>
      </c>
      <c r="H150" s="162">
        <f t="shared" si="79"/>
        <v>328.2</v>
      </c>
      <c r="I150" s="162">
        <f t="shared" si="79"/>
        <v>328.2</v>
      </c>
      <c r="J150" s="162">
        <f t="shared" si="79"/>
        <v>328.2</v>
      </c>
      <c r="K150" s="162">
        <f t="shared" si="79"/>
        <v>328.2</v>
      </c>
      <c r="L150" s="162">
        <f t="shared" si="79"/>
        <v>328.2</v>
      </c>
      <c r="M150" s="162">
        <f t="shared" si="79"/>
        <v>328.2</v>
      </c>
      <c r="N150" s="239"/>
      <c r="O150" s="245"/>
    </row>
    <row r="151" spans="1:23">
      <c r="B151" s="853" t="s">
        <v>380</v>
      </c>
      <c r="G151" s="162">
        <f ca="1">(G149^2*G73^2*G69^2/G74*G52/100*(100-G52)/100)/(G95/G112)/1000</f>
        <v>406.23900856291681</v>
      </c>
      <c r="H151" s="162">
        <f t="shared" ref="H151:M151" ca="1" si="80">(H149^2*H73^2*H69^2/H74*H52/100*(100-H52)/100)/(H95/H112)/1000</f>
        <v>406.23900856291681</v>
      </c>
      <c r="I151" s="162">
        <f t="shared" ca="1" si="80"/>
        <v>406.23900856291681</v>
      </c>
      <c r="J151" s="162">
        <f t="shared" ca="1" si="80"/>
        <v>406.23900856291681</v>
      </c>
      <c r="K151" s="162">
        <f t="shared" ca="1" si="80"/>
        <v>406.23900856291681</v>
      </c>
      <c r="L151" s="162">
        <f t="shared" ca="1" si="80"/>
        <v>406.23900856291681</v>
      </c>
      <c r="M151" s="162">
        <f t="shared" ca="1" si="80"/>
        <v>406.23900856291681</v>
      </c>
      <c r="N151" s="239"/>
      <c r="O151" s="96"/>
    </row>
    <row r="152" spans="1:23">
      <c r="B152" s="853" t="s">
        <v>148</v>
      </c>
      <c r="G152" s="165">
        <f t="shared" ref="G152:M152" ca="1" si="81">G65*1000/G149/G53*100</f>
        <v>674.26615593889778</v>
      </c>
      <c r="H152" s="165">
        <f t="shared" ca="1" si="81"/>
        <v>674.26615593889778</v>
      </c>
      <c r="I152" s="165">
        <f t="shared" ca="1" si="81"/>
        <v>674.26615593889778</v>
      </c>
      <c r="J152" s="165">
        <f t="shared" ca="1" si="81"/>
        <v>674.26615593889778</v>
      </c>
      <c r="K152" s="165">
        <f t="shared" ca="1" si="81"/>
        <v>674.26615593889778</v>
      </c>
      <c r="L152" s="165">
        <f t="shared" ca="1" si="81"/>
        <v>674.26615593889778</v>
      </c>
      <c r="M152" s="165">
        <f t="shared" ca="1" si="81"/>
        <v>674.26615593889778</v>
      </c>
      <c r="N152" s="98"/>
      <c r="O152" s="96"/>
    </row>
    <row r="153" spans="1:23">
      <c r="B153" s="853" t="s">
        <v>1477</v>
      </c>
      <c r="F153" s="171"/>
      <c r="G153" s="185">
        <f ca="1">IF(Dashboard!$D56=0,20,G152*1000/G112/G69/G73)</f>
        <v>9.3981100473166155</v>
      </c>
      <c r="H153" s="185">
        <f ca="1">IF(Dashboard!$D56=0,20,H152*1000/H112/H69/H73)</f>
        <v>9.3981100473166155</v>
      </c>
      <c r="I153" s="185">
        <f ca="1">IF(Dashboard!$D56=0,20,I152*1000/I112/I69/I73)</f>
        <v>9.3981100473166155</v>
      </c>
      <c r="J153" s="185">
        <f ca="1">IF(Dashboard!$D56=0,20,J152*1000/J112/J69/J73)</f>
        <v>9.3981100473166155</v>
      </c>
      <c r="K153" s="185">
        <f ca="1">IF(Dashboard!$D56=0,20,K152*1000/K112/K69/K73)</f>
        <v>9.3981100473166155</v>
      </c>
      <c r="L153" s="185">
        <f ca="1">IF(Dashboard!$D56=0,20,L152*1000/L112/L69/L73)</f>
        <v>9.3981100473166155</v>
      </c>
      <c r="M153" s="185">
        <f ca="1">IF(Dashboard!$D56=0,20,M152*1000/M112/M69/M73)</f>
        <v>9.3981100473166155</v>
      </c>
      <c r="N153" s="76"/>
      <c r="O153" s="96"/>
    </row>
    <row r="154" spans="1:23">
      <c r="A154" s="880" t="s">
        <v>991</v>
      </c>
      <c r="B154" s="853" t="s">
        <v>211</v>
      </c>
      <c r="F154" s="171"/>
      <c r="G154" s="162">
        <f t="array" aca="1" ref="G154" ca="1">IF(Dashboard!$D56=0,5,G152/G81/G73)</f>
        <v>2.1792535453115889</v>
      </c>
      <c r="H154" s="162">
        <f ca="1">IF(Dashboard!$D56=0,5,H152/H81/H73)</f>
        <v>2.1792535453115889</v>
      </c>
      <c r="I154" s="162">
        <f ca="1">IF(Dashboard!$D56=0,5,I152/I81/I73)</f>
        <v>2.1792535453115889</v>
      </c>
      <c r="J154" s="162">
        <f ca="1">IF(Dashboard!$D56=0,5,J152/J81/J73)</f>
        <v>2.1792535453115889</v>
      </c>
      <c r="K154" s="162">
        <f ca="1">IF(Dashboard!$D56=0,5,K152/K81/K73)</f>
        <v>2.1792535453115889</v>
      </c>
      <c r="L154" s="162">
        <f ca="1">IF(Dashboard!$D56=0,5,L152/L81/L73)</f>
        <v>2.1792535453115889</v>
      </c>
      <c r="M154" s="162">
        <f ca="1">IF(Dashboard!$D56=0,5,M152/M81/M73)</f>
        <v>2.1792535453115889</v>
      </c>
      <c r="N154" s="239"/>
      <c r="O154" s="96"/>
    </row>
    <row r="155" spans="1:23">
      <c r="B155" s="853" t="s">
        <v>407</v>
      </c>
      <c r="G155" s="170">
        <f ca="1">IF(G63="EG-W",Thermal!G93,Thermal!G159)*10</f>
        <v>3.7789723778240196</v>
      </c>
      <c r="H155" s="170">
        <f ca="1">IF(H63="EG-W",Thermal!H93,Thermal!H159)*10</f>
        <v>3.7789723778240196</v>
      </c>
      <c r="I155" s="170">
        <f ca="1">IF(I63="EG-W",Thermal!I93,Thermal!I159)*10</f>
        <v>3.7789723778240196</v>
      </c>
      <c r="J155" s="170">
        <f ca="1">IF(J63="EG-W",Thermal!J93,Thermal!J159)*10</f>
        <v>3.7789723778240196</v>
      </c>
      <c r="K155" s="170">
        <f ca="1">IF(K63="EG-W",Thermal!K93,Thermal!K159)*10</f>
        <v>3.7789723778240196</v>
      </c>
      <c r="L155" s="170">
        <f ca="1">IF(L63="EG-W",Thermal!L93,Thermal!L159)*10</f>
        <v>3.7789723778240196</v>
      </c>
      <c r="M155" s="170">
        <f ca="1">IF(M63="EG-W",Thermal!M93,Thermal!M159)*10</f>
        <v>3.7789723778240196</v>
      </c>
      <c r="N155" s="239"/>
      <c r="O155" s="96"/>
    </row>
    <row r="156" spans="1:23">
      <c r="B156" s="853" t="s">
        <v>277</v>
      </c>
      <c r="G156" s="412">
        <f>1.5</f>
        <v>1.5</v>
      </c>
      <c r="H156" s="412">
        <f t="shared" ref="H156:M156" si="82">1.5</f>
        <v>1.5</v>
      </c>
      <c r="I156" s="412">
        <f t="shared" si="82"/>
        <v>1.5</v>
      </c>
      <c r="J156" s="412">
        <f t="shared" si="82"/>
        <v>1.5</v>
      </c>
      <c r="K156" s="412">
        <f t="shared" si="82"/>
        <v>1.5</v>
      </c>
      <c r="L156" s="412">
        <f t="shared" si="82"/>
        <v>1.5</v>
      </c>
      <c r="M156" s="412">
        <f t="shared" si="82"/>
        <v>1.5</v>
      </c>
      <c r="N156" s="239"/>
      <c r="O156" s="94"/>
      <c r="T156" s="1279"/>
      <c r="U156" s="1279"/>
      <c r="V156" s="1279"/>
      <c r="W156" s="1279"/>
    </row>
    <row r="157" spans="1:23">
      <c r="B157" s="853" t="s">
        <v>447</v>
      </c>
      <c r="G157" s="165">
        <f t="shared" ref="G157:M157" ca="1" si="83">G70*G141+2*G78+2*G156+IF(G63="EG-W",G155,0)</f>
        <v>2183.7420858142732</v>
      </c>
      <c r="H157" s="165">
        <f t="shared" ca="1" si="83"/>
        <v>2183.7420858142732</v>
      </c>
      <c r="I157" s="165">
        <f t="shared" ca="1" si="83"/>
        <v>2183.7420858142732</v>
      </c>
      <c r="J157" s="165">
        <f t="shared" ca="1" si="83"/>
        <v>2183.7420858142732</v>
      </c>
      <c r="K157" s="165">
        <f t="shared" ca="1" si="83"/>
        <v>2183.7420858142732</v>
      </c>
      <c r="L157" s="165">
        <f t="shared" ca="1" si="83"/>
        <v>2183.7420858142732</v>
      </c>
      <c r="M157" s="165">
        <f t="shared" ca="1" si="83"/>
        <v>2183.7420858142732</v>
      </c>
      <c r="N157" s="98"/>
      <c r="O157" s="165"/>
      <c r="P157" s="165"/>
      <c r="Q157" s="165"/>
      <c r="R157" s="165"/>
      <c r="S157" s="165"/>
      <c r="T157" s="165"/>
      <c r="U157" s="165"/>
    </row>
    <row r="158" spans="1:23">
      <c r="B158" s="853" t="s">
        <v>448</v>
      </c>
      <c r="G158" s="165">
        <f t="shared" ref="G158:M158" ca="1" si="84">G71*G140+IF(G71=1,8,IF(G71=2,10,IF(G71=4,20)))+2*G78</f>
        <v>1127.786042164144</v>
      </c>
      <c r="H158" s="165">
        <f t="shared" ca="1" si="84"/>
        <v>1127.786042164144</v>
      </c>
      <c r="I158" s="165">
        <f t="shared" ca="1" si="84"/>
        <v>1127.786042164144</v>
      </c>
      <c r="J158" s="165">
        <f t="shared" ca="1" si="84"/>
        <v>1127.786042164144</v>
      </c>
      <c r="K158" s="165">
        <f t="shared" ca="1" si="84"/>
        <v>1127.786042164144</v>
      </c>
      <c r="L158" s="165">
        <f t="shared" ca="1" si="84"/>
        <v>1127.786042164144</v>
      </c>
      <c r="M158" s="165">
        <f t="shared" ca="1" si="84"/>
        <v>1127.786042164144</v>
      </c>
      <c r="N158" s="98"/>
      <c r="O158" s="165"/>
      <c r="P158" s="165"/>
      <c r="Q158" s="165"/>
      <c r="R158" s="165"/>
      <c r="S158" s="165"/>
      <c r="T158" s="165"/>
      <c r="U158" s="165"/>
    </row>
    <row r="159" spans="1:23">
      <c r="B159" s="853" t="s">
        <v>449</v>
      </c>
      <c r="G159" s="165">
        <f t="shared" ref="G159:M159" ca="1" si="85">G142+2*G155+2*G78</f>
        <v>116.6734482693267</v>
      </c>
      <c r="H159" s="165">
        <f t="shared" ca="1" si="85"/>
        <v>116.6734482693267</v>
      </c>
      <c r="I159" s="165">
        <f t="shared" ca="1" si="85"/>
        <v>116.6734482693267</v>
      </c>
      <c r="J159" s="165">
        <f t="shared" ca="1" si="85"/>
        <v>116.6734482693267</v>
      </c>
      <c r="K159" s="165">
        <f t="shared" ca="1" si="85"/>
        <v>116.6734482693267</v>
      </c>
      <c r="L159" s="165">
        <f t="shared" ca="1" si="85"/>
        <v>116.6734482693267</v>
      </c>
      <c r="M159" s="165">
        <f t="shared" ca="1" si="85"/>
        <v>116.6734482693267</v>
      </c>
      <c r="N159" s="98"/>
      <c r="O159" s="165"/>
      <c r="P159" s="165"/>
      <c r="Q159" s="165"/>
      <c r="R159" s="165"/>
      <c r="S159" s="165"/>
      <c r="T159" s="165"/>
      <c r="U159" s="165"/>
    </row>
    <row r="160" spans="1:23">
      <c r="B160" s="853" t="s">
        <v>509</v>
      </c>
      <c r="G160" s="1078">
        <f>50</f>
        <v>50</v>
      </c>
      <c r="H160" s="1078">
        <f>50</f>
        <v>50</v>
      </c>
      <c r="I160" s="1078">
        <f>50</f>
        <v>50</v>
      </c>
      <c r="J160" s="1078">
        <f>50</f>
        <v>50</v>
      </c>
      <c r="K160" s="1078">
        <f>50</f>
        <v>50</v>
      </c>
      <c r="L160" s="1078">
        <f>50</f>
        <v>50</v>
      </c>
      <c r="M160" s="1078">
        <f>50</f>
        <v>50</v>
      </c>
      <c r="N160" s="98"/>
      <c r="O160" s="96"/>
    </row>
    <row r="161" spans="2:22">
      <c r="B161" s="853" t="s">
        <v>445</v>
      </c>
      <c r="G161" s="165">
        <f>IF(Thermal!G67="CA",2*G78+Thermal!G159,0)</f>
        <v>0</v>
      </c>
      <c r="H161" s="165">
        <f>IF(Thermal!H67="CA",2*H78+Thermal!H159,0)</f>
        <v>0</v>
      </c>
      <c r="I161" s="165">
        <f>IF(Thermal!I67="CA",2*I78+Thermal!I159,0)</f>
        <v>0</v>
      </c>
      <c r="J161" s="165">
        <f>IF(Thermal!J67="CA",2*J78+Thermal!J159,0)</f>
        <v>0</v>
      </c>
      <c r="K161" s="165">
        <f>IF(Thermal!K67="CA",2*K78+Thermal!K159,0)</f>
        <v>0</v>
      </c>
      <c r="L161" s="165">
        <f>IF(Thermal!L67="CA",2*L78+Thermal!L159,0)</f>
        <v>0</v>
      </c>
      <c r="M161" s="165">
        <f>IF(Thermal!M67="CA",2*M78+Thermal!M159,0)</f>
        <v>0</v>
      </c>
      <c r="N161" s="98"/>
      <c r="O161" s="96"/>
    </row>
    <row r="162" spans="2:22">
      <c r="B162" s="853" t="s">
        <v>446</v>
      </c>
      <c r="E162" s="324"/>
      <c r="G162" s="162">
        <f t="shared" ref="G162:M162" ca="1" si="86">G157*G160*G161*2/1000000</f>
        <v>0</v>
      </c>
      <c r="H162" s="162">
        <f t="shared" ca="1" si="86"/>
        <v>0</v>
      </c>
      <c r="I162" s="162">
        <f t="shared" ca="1" si="86"/>
        <v>0</v>
      </c>
      <c r="J162" s="162">
        <f t="shared" ca="1" si="86"/>
        <v>0</v>
      </c>
      <c r="K162" s="162">
        <f t="shared" ca="1" si="86"/>
        <v>0</v>
      </c>
      <c r="L162" s="162">
        <f t="shared" ca="1" si="86"/>
        <v>0</v>
      </c>
      <c r="M162" s="162">
        <f t="shared" ca="1" si="86"/>
        <v>0</v>
      </c>
      <c r="N162" s="239"/>
      <c r="O162" s="239"/>
    </row>
    <row r="163" spans="2:22">
      <c r="B163" s="853" t="s">
        <v>711</v>
      </c>
      <c r="G163" s="170">
        <f>BMU!AE88</f>
        <v>3.3202624169000003</v>
      </c>
      <c r="H163" s="170">
        <f>BMU!AF88</f>
        <v>3.3202624169000003</v>
      </c>
      <c r="I163" s="170">
        <f>BMU!AG88</f>
        <v>3.3202624169000003</v>
      </c>
      <c r="J163" s="170">
        <f>BMU!AH88</f>
        <v>3.3202624169000003</v>
      </c>
      <c r="K163" s="170">
        <f>BMU!AI88</f>
        <v>3.3202624169000003</v>
      </c>
      <c r="L163" s="170">
        <f>BMU!AJ88</f>
        <v>3.3202624169000003</v>
      </c>
      <c r="M163" s="170">
        <f>BMU!AK88</f>
        <v>3.3202624169000003</v>
      </c>
      <c r="N163" s="239"/>
      <c r="O163" s="572"/>
      <c r="P163" s="572"/>
      <c r="Q163" s="572"/>
      <c r="R163" s="572"/>
      <c r="S163" s="572"/>
      <c r="T163" s="572"/>
      <c r="U163" s="572"/>
      <c r="V163" s="572"/>
    </row>
    <row r="164" spans="2:22">
      <c r="B164" s="853" t="s">
        <v>541</v>
      </c>
      <c r="G164" s="423">
        <f t="shared" ref="G164:M164" ca="1" si="87">G157*G158*G159/1000000+G162+G163</f>
        <v>290.66291258075501</v>
      </c>
      <c r="H164" s="423">
        <f t="shared" ca="1" si="87"/>
        <v>290.66291258075501</v>
      </c>
      <c r="I164" s="423">
        <f t="shared" ca="1" si="87"/>
        <v>290.66291258075501</v>
      </c>
      <c r="J164" s="423">
        <f t="shared" ca="1" si="87"/>
        <v>290.66291258075501</v>
      </c>
      <c r="K164" s="423">
        <f t="shared" ca="1" si="87"/>
        <v>290.66291258075501</v>
      </c>
      <c r="L164" s="423">
        <f t="shared" ca="1" si="87"/>
        <v>290.66291258075501</v>
      </c>
      <c r="M164" s="423">
        <f t="shared" ca="1" si="87"/>
        <v>290.66291258075501</v>
      </c>
      <c r="N164" s="239"/>
      <c r="O164" s="420"/>
    </row>
    <row r="165" spans="2:22">
      <c r="B165" s="853" t="s">
        <v>727</v>
      </c>
      <c r="G165" s="424">
        <f ca="1">IF(AND(G62="EV",'EV Charging'!$F10=1),MAX(1.5*'EV Charging'!G17,1.5*G152),1.5*G152)</f>
        <v>1011.3992339083467</v>
      </c>
      <c r="H165" s="424">
        <f ca="1">IF(AND(H62="EV",'EV Charging'!$F10=1),MAX(1.5*'EV Charging'!H17,1.5*H152),1.5*H152)</f>
        <v>1011.3992339083467</v>
      </c>
      <c r="I165" s="424">
        <f ca="1">IF(AND(I62="EV",'EV Charging'!$F10=1),MAX(1.5*'EV Charging'!I17,1.5*I152),1.5*I152)</f>
        <v>1011.3992339083467</v>
      </c>
      <c r="J165" s="424">
        <f ca="1">IF(AND(J62="EV",'EV Charging'!$F10=1),MAX(1.5*'EV Charging'!J17,1.5*J152),1.5*J152)</f>
        <v>1011.3992339083467</v>
      </c>
      <c r="K165" s="424">
        <f ca="1">IF(AND(K62="EV",'EV Charging'!$F10=1),MAX(1.5*'EV Charging'!K17,1.5*K152),1.5*K152)</f>
        <v>1011.3992339083467</v>
      </c>
      <c r="L165" s="424">
        <f ca="1">IF(AND(L62="EV",'EV Charging'!$F10=1),MAX(1.5*'EV Charging'!L17,1.5*L152),1.5*L152)</f>
        <v>1011.3992339083467</v>
      </c>
      <c r="M165" s="424">
        <f ca="1">IF(AND(M62="EV",'EV Charging'!$F10=1),MAX(1.5*'EV Charging'!M17,1.5*M152),1.5*M152)</f>
        <v>1011.3992339083467</v>
      </c>
      <c r="N165" s="239"/>
      <c r="O165" s="420"/>
    </row>
    <row r="166" spans="2:22">
      <c r="B166" s="853" t="s">
        <v>551</v>
      </c>
      <c r="G166" s="424">
        <f t="shared" ref="G166:M166" ca="1" si="88">(5/G127*G165/G73*G128)*1.2</f>
        <v>169.48014166921172</v>
      </c>
      <c r="H166" s="424">
        <f t="shared" ca="1" si="88"/>
        <v>169.48014166921172</v>
      </c>
      <c r="I166" s="424">
        <f t="shared" ca="1" si="88"/>
        <v>169.48014166921172</v>
      </c>
      <c r="J166" s="424">
        <f t="shared" ca="1" si="88"/>
        <v>169.48014166921172</v>
      </c>
      <c r="K166" s="424">
        <f t="shared" ca="1" si="88"/>
        <v>169.48014166921172</v>
      </c>
      <c r="L166" s="424">
        <f t="shared" ca="1" si="88"/>
        <v>169.48014166921172</v>
      </c>
      <c r="M166" s="424">
        <f t="shared" ca="1" si="88"/>
        <v>169.48014166921172</v>
      </c>
      <c r="N166" s="239"/>
      <c r="O166" s="410"/>
    </row>
    <row r="167" spans="2:22">
      <c r="B167" s="853" t="s">
        <v>552</v>
      </c>
      <c r="G167" s="424">
        <f t="shared" ref="G167:M167" ca="1" si="89">2*G156*(G158-2*G78)*(G159-2*G78)/1000*_rho_steel</f>
        <v>2282.0106047817721</v>
      </c>
      <c r="H167" s="424">
        <f t="shared" ca="1" si="89"/>
        <v>2282.0106047817721</v>
      </c>
      <c r="I167" s="424">
        <f t="shared" ca="1" si="89"/>
        <v>2282.0106047817721</v>
      </c>
      <c r="J167" s="424">
        <f t="shared" ca="1" si="89"/>
        <v>2282.0106047817721</v>
      </c>
      <c r="K167" s="424">
        <f t="shared" ca="1" si="89"/>
        <v>2282.0106047817721</v>
      </c>
      <c r="L167" s="424">
        <f t="shared" ca="1" si="89"/>
        <v>2282.0106047817721</v>
      </c>
      <c r="M167" s="424">
        <f t="shared" ca="1" si="89"/>
        <v>2282.0106047817721</v>
      </c>
      <c r="N167" s="239"/>
      <c r="O167" s="270"/>
    </row>
    <row r="168" spans="2:22">
      <c r="B168" s="853" t="s">
        <v>553</v>
      </c>
      <c r="E168" s="324"/>
      <c r="G168" s="424">
        <f t="shared" ref="G168:M168" si="90">IF(AND(G71=1,G70&gt;1),((G157-2*G78)/10)^2*G165/600000/G76*8.92,0)</f>
        <v>0</v>
      </c>
      <c r="H168" s="424">
        <f t="shared" si="90"/>
        <v>0</v>
      </c>
      <c r="I168" s="424">
        <f t="shared" si="90"/>
        <v>0</v>
      </c>
      <c r="J168" s="424">
        <f t="shared" si="90"/>
        <v>0</v>
      </c>
      <c r="K168" s="424">
        <f t="shared" si="90"/>
        <v>0</v>
      </c>
      <c r="L168" s="424">
        <f t="shared" si="90"/>
        <v>0</v>
      </c>
      <c r="M168" s="424">
        <f t="shared" si="90"/>
        <v>0</v>
      </c>
      <c r="N168" s="239"/>
      <c r="O168" s="421"/>
    </row>
    <row r="169" spans="2:22">
      <c r="B169" s="853" t="s">
        <v>259</v>
      </c>
      <c r="E169" s="324"/>
      <c r="G169" s="425">
        <f t="shared" ref="G169:M169" ca="1" si="91">(G72-1)*2*(5/G165/G73*G128)</f>
        <v>1.0112249650467709E-4</v>
      </c>
      <c r="H169" s="425">
        <f t="shared" ca="1" si="91"/>
        <v>1.0112249650467709E-4</v>
      </c>
      <c r="I169" s="425">
        <f t="shared" ca="1" si="91"/>
        <v>1.0112249650467709E-4</v>
      </c>
      <c r="J169" s="425">
        <f t="shared" ca="1" si="91"/>
        <v>1.0112249650467709E-4</v>
      </c>
      <c r="K169" s="425">
        <f t="shared" ca="1" si="91"/>
        <v>1.0112249650467709E-4</v>
      </c>
      <c r="L169" s="425">
        <f t="shared" ca="1" si="91"/>
        <v>1.0112249650467709E-4</v>
      </c>
      <c r="M169" s="425">
        <f t="shared" ca="1" si="91"/>
        <v>1.0112249650467709E-4</v>
      </c>
      <c r="N169" s="239"/>
      <c r="O169" s="421"/>
    </row>
    <row r="170" spans="2:22">
      <c r="B170" s="853" t="s">
        <v>648</v>
      </c>
      <c r="E170" s="324"/>
      <c r="G170" s="425">
        <f t="shared" ref="G170:M170" ca="1" si="92">2*(3/G165*G128)</f>
        <v>3.1933419948845401E-6</v>
      </c>
      <c r="H170" s="425">
        <f t="shared" ca="1" si="92"/>
        <v>3.1933419948845401E-6</v>
      </c>
      <c r="I170" s="425">
        <f t="shared" ca="1" si="92"/>
        <v>3.1933419948845401E-6</v>
      </c>
      <c r="J170" s="425">
        <f t="shared" ca="1" si="92"/>
        <v>3.1933419948845401E-6</v>
      </c>
      <c r="K170" s="425">
        <f t="shared" ca="1" si="92"/>
        <v>3.1933419948845401E-6</v>
      </c>
      <c r="L170" s="425">
        <f t="shared" ca="1" si="92"/>
        <v>3.1933419948845401E-6</v>
      </c>
      <c r="M170" s="425">
        <f t="shared" ca="1" si="92"/>
        <v>3.1933419948845401E-6</v>
      </c>
      <c r="N170" s="239"/>
      <c r="O170" s="239"/>
    </row>
    <row r="171" spans="2:22">
      <c r="B171" s="853" t="s">
        <v>649</v>
      </c>
      <c r="E171" s="324"/>
      <c r="G171" s="426">
        <f ca="1">2*(3/G127*G165*G128)/0.7/0.75</f>
        <v>322.81931746516528</v>
      </c>
      <c r="H171" s="426">
        <f t="shared" ref="H171:M171" ca="1" si="93">2*(3/H127*H165*H128)/0.7/0.75</f>
        <v>322.81931746516528</v>
      </c>
      <c r="I171" s="426">
        <f t="shared" ca="1" si="93"/>
        <v>322.81931746516528</v>
      </c>
      <c r="J171" s="426">
        <f t="shared" ca="1" si="93"/>
        <v>322.81931746516528</v>
      </c>
      <c r="K171" s="426">
        <f t="shared" ca="1" si="93"/>
        <v>322.81931746516528</v>
      </c>
      <c r="L171" s="426">
        <f t="shared" ca="1" si="93"/>
        <v>322.81931746516528</v>
      </c>
      <c r="M171" s="426">
        <f t="shared" ca="1" si="93"/>
        <v>322.81931746516528</v>
      </c>
      <c r="N171" s="239"/>
      <c r="O171" s="76"/>
      <c r="P171" s="98"/>
    </row>
    <row r="172" spans="2:22">
      <c r="B172" s="853" t="s">
        <v>336</v>
      </c>
      <c r="E172" s="324"/>
      <c r="G172" s="423">
        <f ca="1">IF(Dashboard!$D56=0,1,Thermal!G189/1000)</f>
        <v>3</v>
      </c>
      <c r="H172" s="423">
        <f ca="1">IF(Dashboard!$D56=0,1,Thermal!H189/1000)</f>
        <v>3</v>
      </c>
      <c r="I172" s="423">
        <f ca="1">IF(Dashboard!$D56=0,1,Thermal!I189/1000)</f>
        <v>3</v>
      </c>
      <c r="J172" s="423">
        <f ca="1">IF(Dashboard!$D56=0,1,Thermal!J189/1000)</f>
        <v>3</v>
      </c>
      <c r="K172" s="423">
        <f ca="1">IF(Dashboard!$D56=0,1,Thermal!K189/1000)</f>
        <v>3</v>
      </c>
      <c r="L172" s="423">
        <f ca="1">IF(Dashboard!$D56=0,1,Thermal!L189/1000)</f>
        <v>3</v>
      </c>
      <c r="M172" s="423">
        <f ca="1">IF(Dashboard!$D56=0,1,Thermal!M189/1000)</f>
        <v>3</v>
      </c>
      <c r="N172" s="239"/>
      <c r="O172" s="76"/>
      <c r="P172" s="76"/>
    </row>
    <row r="173" spans="2:22">
      <c r="B173" s="853" t="s">
        <v>600</v>
      </c>
      <c r="G173" s="427">
        <f t="shared" ref="G173:M173" ca="1" si="94">G172*0.2</f>
        <v>0.60000000000000009</v>
      </c>
      <c r="H173" s="427">
        <f t="shared" ca="1" si="94"/>
        <v>0.60000000000000009</v>
      </c>
      <c r="I173" s="427">
        <f t="shared" ca="1" si="94"/>
        <v>0.60000000000000009</v>
      </c>
      <c r="J173" s="427">
        <f t="shared" ca="1" si="94"/>
        <v>0.60000000000000009</v>
      </c>
      <c r="K173" s="427">
        <f t="shared" ca="1" si="94"/>
        <v>0.60000000000000009</v>
      </c>
      <c r="L173" s="427">
        <f t="shared" ca="1" si="94"/>
        <v>0.60000000000000009</v>
      </c>
      <c r="M173" s="427">
        <f t="shared" ca="1" si="94"/>
        <v>0.60000000000000009</v>
      </c>
      <c r="N173" s="239"/>
      <c r="O173" s="420"/>
      <c r="P173" s="242"/>
      <c r="Q173" s="242"/>
    </row>
    <row r="174" spans="2:22">
      <c r="B174" s="853" t="s">
        <v>554</v>
      </c>
      <c r="G174" s="427">
        <f ca="1">IF(G63="EG-W",Thermal!G88,0)</f>
        <v>19.473534422481723</v>
      </c>
      <c r="H174" s="427">
        <f ca="1">IF(H63="EG-W",Thermal!H88,0)</f>
        <v>19.473534422481723</v>
      </c>
      <c r="I174" s="427">
        <f ca="1">IF(I63="EG-W",Thermal!I88,0)</f>
        <v>19.473534422481723</v>
      </c>
      <c r="J174" s="427">
        <f ca="1">IF(J63="EG-W",Thermal!J88,0)</f>
        <v>19.473534422481723</v>
      </c>
      <c r="K174" s="427">
        <f ca="1">IF(K63="EG-W",Thermal!K88,0)</f>
        <v>19.473534422481723</v>
      </c>
      <c r="L174" s="427">
        <f ca="1">IF(L63="EG-W",Thermal!L88,0)</f>
        <v>19.473534422481723</v>
      </c>
      <c r="M174" s="427">
        <f ca="1">IF(M63="EG-W",Thermal!M88,0)</f>
        <v>19.473534422481723</v>
      </c>
      <c r="N174" s="239"/>
      <c r="O174" s="421"/>
      <c r="P174" s="239"/>
    </row>
    <row r="175" spans="2:22">
      <c r="B175" s="853" t="s">
        <v>1478</v>
      </c>
      <c r="G175" s="428">
        <f t="shared" ref="G175:M175" ca="1" si="95">(2*(G157-G78)*(G158-G78)+2*(G157-G78)*(G159-G78)+2*(G158-G78)*(G159-G78))/100</f>
        <v>55075.192113298501</v>
      </c>
      <c r="H175" s="428">
        <f t="shared" ca="1" si="95"/>
        <v>55075.192113298501</v>
      </c>
      <c r="I175" s="428">
        <f t="shared" ca="1" si="95"/>
        <v>55075.192113298501</v>
      </c>
      <c r="J175" s="428">
        <f t="shared" ca="1" si="95"/>
        <v>55075.192113298501</v>
      </c>
      <c r="K175" s="428">
        <f t="shared" ca="1" si="95"/>
        <v>55075.192113298501</v>
      </c>
      <c r="L175" s="428">
        <f t="shared" ca="1" si="95"/>
        <v>55075.192113298501</v>
      </c>
      <c r="M175" s="428">
        <f t="shared" ca="1" si="95"/>
        <v>55075.192113298501</v>
      </c>
      <c r="N175" s="239"/>
      <c r="O175" s="76"/>
      <c r="P175" s="239"/>
    </row>
    <row r="176" spans="2:22">
      <c r="B176" s="853" t="s">
        <v>1479</v>
      </c>
      <c r="G176" s="427">
        <f t="shared" ref="G176:M176" ca="1" si="96">G77/10*0.032+(G78-G77)/10*_rho_Al</f>
        <v>1.1120000000000001</v>
      </c>
      <c r="H176" s="427">
        <f t="shared" ca="1" si="96"/>
        <v>1.1120000000000001</v>
      </c>
      <c r="I176" s="427">
        <f t="shared" ca="1" si="96"/>
        <v>1.1120000000000001</v>
      </c>
      <c r="J176" s="427">
        <f t="shared" ca="1" si="96"/>
        <v>1.1120000000000001</v>
      </c>
      <c r="K176" s="427">
        <f t="shared" ca="1" si="96"/>
        <v>1.1120000000000001</v>
      </c>
      <c r="L176" s="427">
        <f t="shared" ca="1" si="96"/>
        <v>1.1120000000000001</v>
      </c>
      <c r="M176" s="427">
        <f t="shared" ca="1" si="96"/>
        <v>1.1120000000000001</v>
      </c>
      <c r="N176" s="239"/>
      <c r="O176" s="420"/>
      <c r="P176" s="239"/>
    </row>
    <row r="177" spans="2:40">
      <c r="B177" s="853" t="s">
        <v>555</v>
      </c>
      <c r="G177" s="427">
        <f>IF(Thermal!G67="CA",G157*G160*4*G176/100/1000,0)</f>
        <v>0</v>
      </c>
      <c r="H177" s="427">
        <f>IF(Thermal!H67="CA",H157*H160*4*H176/100/1000,0)</f>
        <v>0</v>
      </c>
      <c r="I177" s="427">
        <f>IF(Thermal!I67="CA",I157*I160*4*I176/100/1000,0)</f>
        <v>0</v>
      </c>
      <c r="J177" s="427">
        <f>IF(Thermal!J67="CA",J157*J160*4*J176/100/1000,0)</f>
        <v>0</v>
      </c>
      <c r="K177" s="427">
        <f>IF(Thermal!K67="CA",K157*K160*4*K176/100/1000,0)</f>
        <v>0</v>
      </c>
      <c r="L177" s="427">
        <f>IF(Thermal!L67="CA",L157*L160*4*L176/100/1000,0)</f>
        <v>0</v>
      </c>
      <c r="M177" s="427">
        <f>IF(Thermal!M67="CA",M157*M160*4*M176/100/1000,0)</f>
        <v>0</v>
      </c>
      <c r="N177" s="239"/>
      <c r="O177" s="239"/>
      <c r="P177" s="239"/>
    </row>
    <row r="178" spans="2:40">
      <c r="B178" s="853" t="s">
        <v>616</v>
      </c>
      <c r="E178" s="324"/>
      <c r="G178" s="422">
        <f t="shared" ref="G178:M178" ca="1" si="97">G175*G176/1000+(G72+1)*G166/1000+G167/1000+G168/1000+G171/1000+G173+G177</f>
        <v>68.007526527288306</v>
      </c>
      <c r="H178" s="422">
        <f t="shared" ca="1" si="97"/>
        <v>68.007526527288306</v>
      </c>
      <c r="I178" s="422">
        <f t="shared" ca="1" si="97"/>
        <v>68.007526527288306</v>
      </c>
      <c r="J178" s="422">
        <f t="shared" ca="1" si="97"/>
        <v>68.007526527288306</v>
      </c>
      <c r="K178" s="422">
        <f t="shared" ca="1" si="97"/>
        <v>68.007526527288306</v>
      </c>
      <c r="L178" s="422">
        <f t="shared" ca="1" si="97"/>
        <v>68.007526527288306</v>
      </c>
      <c r="M178" s="422">
        <f t="shared" ca="1" si="97"/>
        <v>68.007526527288306</v>
      </c>
      <c r="N178" s="239"/>
      <c r="O178" s="96"/>
      <c r="P178" s="239"/>
    </row>
    <row r="179" spans="2:40">
      <c r="B179" s="853" t="s">
        <v>540</v>
      </c>
      <c r="E179" s="324"/>
      <c r="G179" s="170">
        <f>BMU!AE104</f>
        <v>3.2732000000000001</v>
      </c>
      <c r="H179" s="170">
        <f>BMU!AF104</f>
        <v>3.2732000000000001</v>
      </c>
      <c r="I179" s="170">
        <f>BMU!AG104</f>
        <v>3.2732000000000001</v>
      </c>
      <c r="J179" s="170">
        <f>BMU!AH104</f>
        <v>3.2732000000000001</v>
      </c>
      <c r="K179" s="170">
        <f>BMU!AI104</f>
        <v>3.2732000000000001</v>
      </c>
      <c r="L179" s="170">
        <f>BMU!AJ104</f>
        <v>3.2732000000000001</v>
      </c>
      <c r="M179" s="170">
        <f>BMU!AK104</f>
        <v>3.2732000000000001</v>
      </c>
      <c r="N179" s="239"/>
      <c r="O179" s="572"/>
      <c r="P179" s="572"/>
      <c r="Q179" s="572"/>
      <c r="R179" s="572"/>
      <c r="S179" s="572"/>
      <c r="T179" s="572"/>
      <c r="U179" s="572"/>
      <c r="V179" s="572"/>
    </row>
    <row r="180" spans="2:40">
      <c r="B180" s="853" t="s">
        <v>556</v>
      </c>
      <c r="E180" s="324"/>
      <c r="G180" s="422">
        <f t="shared" ref="G180:M180" ca="1" si="98">G72*G144+G174+G178+G179</f>
        <v>544.79122628184587</v>
      </c>
      <c r="H180" s="422">
        <f t="shared" ca="1" si="98"/>
        <v>544.79122628184587</v>
      </c>
      <c r="I180" s="422">
        <f t="shared" ca="1" si="98"/>
        <v>544.79122628184587</v>
      </c>
      <c r="J180" s="422">
        <f t="shared" ca="1" si="98"/>
        <v>544.79122628184587</v>
      </c>
      <c r="K180" s="422">
        <f t="shared" ca="1" si="98"/>
        <v>544.79122628184587</v>
      </c>
      <c r="L180" s="422">
        <f t="shared" ca="1" si="98"/>
        <v>544.79122628184587</v>
      </c>
      <c r="M180" s="422">
        <f t="shared" ca="1" si="98"/>
        <v>544.79122628184587</v>
      </c>
      <c r="N180" s="239"/>
    </row>
    <row r="181" spans="2:40">
      <c r="B181" s="853" t="s">
        <v>542</v>
      </c>
      <c r="E181" s="324"/>
      <c r="G181" s="422">
        <f ca="1">G164*'Battery Design'!G56</f>
        <v>290.66291258075501</v>
      </c>
      <c r="H181" s="422">
        <f ca="1">H164*'Battery Design'!H56</f>
        <v>290.66291258075501</v>
      </c>
      <c r="I181" s="422">
        <f ca="1">I164*'Battery Design'!I56</f>
        <v>290.66291258075501</v>
      </c>
      <c r="J181" s="422">
        <f ca="1">J164*'Battery Design'!J56</f>
        <v>290.66291258075501</v>
      </c>
      <c r="K181" s="422">
        <f ca="1">K164*'Battery Design'!K56</f>
        <v>290.66291258075501</v>
      </c>
      <c r="L181" s="422">
        <f ca="1">L164*'Battery Design'!L56</f>
        <v>290.66291258075501</v>
      </c>
      <c r="M181" s="422">
        <f ca="1">M164*'Battery Design'!M56</f>
        <v>290.66291258075501</v>
      </c>
      <c r="N181" s="239"/>
      <c r="O181" s="96"/>
      <c r="P181" s="274"/>
      <c r="Q181" s="170"/>
    </row>
    <row r="182" spans="2:40">
      <c r="B182" s="853" t="s">
        <v>557</v>
      </c>
      <c r="E182" s="324"/>
      <c r="G182" s="429">
        <f ca="1">G180*'Battery Design'!G56</f>
        <v>544.79122628184587</v>
      </c>
      <c r="H182" s="429">
        <f ca="1">H180*'Battery Design'!H56</f>
        <v>544.79122628184587</v>
      </c>
      <c r="I182" s="429">
        <f ca="1">I180*'Battery Design'!I56</f>
        <v>544.79122628184587</v>
      </c>
      <c r="J182" s="429">
        <f ca="1">J180*'Battery Design'!J56</f>
        <v>544.79122628184587</v>
      </c>
      <c r="K182" s="429">
        <f ca="1">K180*'Battery Design'!K56</f>
        <v>544.79122628184587</v>
      </c>
      <c r="L182" s="429">
        <f ca="1">L180*'Battery Design'!L56</f>
        <v>544.79122628184587</v>
      </c>
      <c r="M182" s="429">
        <f ca="1">M180*'Battery Design'!M56</f>
        <v>544.79122628184587</v>
      </c>
      <c r="N182" s="76"/>
      <c r="O182" s="98"/>
      <c r="P182" s="275"/>
      <c r="Q182" s="285"/>
    </row>
    <row r="183" spans="2:40" ht="16">
      <c r="B183" s="13" t="s">
        <v>311</v>
      </c>
      <c r="E183" s="324"/>
      <c r="G183" s="430"/>
      <c r="H183" s="430"/>
      <c r="I183" s="430"/>
      <c r="J183" s="430"/>
      <c r="K183" s="430"/>
      <c r="L183" s="430"/>
      <c r="M183" s="430"/>
      <c r="N183" s="96"/>
      <c r="O183" s="76"/>
      <c r="P183" s="276"/>
      <c r="Q183" s="325"/>
    </row>
    <row r="184" spans="2:40">
      <c r="B184" s="853" t="s">
        <v>500</v>
      </c>
      <c r="E184" s="324"/>
      <c r="G184" s="431">
        <f ca="1">Thermal!G38*'Battery Design'!G56</f>
        <v>627.40427580201253</v>
      </c>
      <c r="H184" s="431">
        <f ca="1">Thermal!H38*'Battery Design'!H56</f>
        <v>627.40427580201253</v>
      </c>
      <c r="I184" s="431">
        <f ca="1">Thermal!I38*'Battery Design'!I56</f>
        <v>627.40427580201253</v>
      </c>
      <c r="J184" s="431">
        <f ca="1">Thermal!J38*'Battery Design'!J56</f>
        <v>627.40427580201253</v>
      </c>
      <c r="K184" s="431">
        <f ca="1">Thermal!K38*'Battery Design'!K56</f>
        <v>627.40427580201253</v>
      </c>
      <c r="L184" s="431">
        <f ca="1">Thermal!L38*'Battery Design'!L56</f>
        <v>627.40427580201253</v>
      </c>
      <c r="M184" s="431">
        <f ca="1">Thermal!M38*'Battery Design'!M56</f>
        <v>627.40427580201253</v>
      </c>
      <c r="N184" s="98"/>
      <c r="O184" s="76"/>
      <c r="P184" s="276"/>
      <c r="Q184" s="338"/>
      <c r="R184" s="171"/>
      <c r="S184" s="150"/>
    </row>
    <row r="185" spans="2:40">
      <c r="B185" s="853" t="s">
        <v>1166</v>
      </c>
      <c r="E185" s="324"/>
      <c r="G185" s="429" t="str">
        <f>IF(G62="EV","Refrig 4",IF(G63="CA","NA",IF(G184&lt;Thermal!$F195/1.5,"Refrig 1",IF(G184&lt;Thermal!$F196/1.5,"Refrig 2",IF(G184&lt;Thermal!$F197/1.5,"Refrig 3","Refrig 4")))))</f>
        <v>Refrig 4</v>
      </c>
      <c r="H185" s="429" t="str">
        <f>IF(H62="EV","Refrig 4",IF(H63="CA","NA",IF(H184&lt;Thermal!$F195/1.5,"Refrig 1",IF(H184&lt;Thermal!$F196/1.5,"Refrig 2",IF(H184&lt;Thermal!$F197/1.5,"Refrig 3","Refrig 4")))))</f>
        <v>Refrig 4</v>
      </c>
      <c r="I185" s="429" t="str">
        <f>IF(I62="EV","Refrig 4",IF(I63="CA","NA",IF(I184&lt;Thermal!$F195/1.5,"Refrig 1",IF(I184&lt;Thermal!$F196/1.5,"Refrig 2",IF(I184&lt;Thermal!$F197/1.5,"Refrig 3","Refrig 4")))))</f>
        <v>Refrig 4</v>
      </c>
      <c r="J185" s="429" t="str">
        <f>IF(J62="EV","Refrig 4",IF(J63="CA","NA",IF(J184&lt;Thermal!$F195/1.5,"Refrig 1",IF(J184&lt;Thermal!$F196/1.5,"Refrig 2",IF(J184&lt;Thermal!$F197/1.5,"Refrig 3","Refrig 4")))))</f>
        <v>Refrig 4</v>
      </c>
      <c r="K185" s="429" t="str">
        <f>IF(K62="EV","Refrig 4",IF(K63="CA","NA",IF(K184&lt;Thermal!$F195/1.5,"Refrig 1",IF(K184&lt;Thermal!$F196/1.5,"Refrig 2",IF(K184&lt;Thermal!$F197/1.5,"Refrig 3","Refrig 4")))))</f>
        <v>Refrig 4</v>
      </c>
      <c r="L185" s="429" t="str">
        <f>IF(L62="EV","Refrig 4",IF(L63="CA","NA",IF(L184&lt;Thermal!$F195/1.5,"Refrig 1",IF(L184&lt;Thermal!$F196/1.5,"Refrig 2",IF(L184&lt;Thermal!$F197/1.5,"Refrig 3","Refrig 4")))))</f>
        <v>Refrig 4</v>
      </c>
      <c r="M185" s="429" t="str">
        <f>IF(M62="EV","Refrig 4",IF(M63="CA","NA",IF(M184&lt;Thermal!$F195/1.5,"Refrig 1",IF(M184&lt;Thermal!$F196/1.5,"Refrig 2",IF(M184&lt;Thermal!$F197/1.5,"Refrig 3","Refrig 4")))))</f>
        <v>Refrig 4</v>
      </c>
      <c r="N185" s="76"/>
      <c r="O185" s="239"/>
      <c r="P185" s="275"/>
      <c r="Q185" s="171"/>
      <c r="R185" s="171"/>
      <c r="S185" s="150"/>
      <c r="T185" s="324"/>
      <c r="U185" s="324"/>
    </row>
    <row r="186" spans="2:40">
      <c r="B186" s="753" t="s">
        <v>1165</v>
      </c>
      <c r="E186" s="324"/>
      <c r="G186" s="429"/>
      <c r="H186" s="429"/>
      <c r="I186" s="429"/>
      <c r="J186" s="429"/>
      <c r="K186" s="429"/>
      <c r="L186" s="429"/>
      <c r="M186" s="429"/>
      <c r="N186" s="76"/>
      <c r="O186" s="239"/>
      <c r="P186" s="239"/>
      <c r="Q186" s="277"/>
      <c r="R186" s="150"/>
      <c r="S186" s="150"/>
      <c r="T186" s="324"/>
      <c r="U186" s="324"/>
    </row>
    <row r="187" spans="2:40">
      <c r="B187" s="853" t="s">
        <v>1163</v>
      </c>
      <c r="E187" s="324"/>
      <c r="G187" s="422">
        <f>IF(G63="CA",0,IF(G185="Refrig 1",Thermal!$G195,IF(G185="Refrig 2",Thermal!$G196,IF(G185="Refrig 3",Thermal!$G197,Thermal!$G198)))*('Battery Design'!G56)^0.5)</f>
        <v>7</v>
      </c>
      <c r="H187" s="422">
        <f>IF(H63="CA",0,IF(H185="Refrig 1",Thermal!$G195,IF(H185="Refrig 2",Thermal!$G196,IF(H185="Refrig 3",Thermal!$G197,Thermal!$G198)))*('Battery Design'!H56)^0.5)</f>
        <v>7</v>
      </c>
      <c r="I187" s="422">
        <f>IF(I63="CA",0,IF(I185="Refrig 1",Thermal!$G195,IF(I185="Refrig 2",Thermal!$G196,IF(I185="Refrig 3",Thermal!$G197,Thermal!$G198)))*('Battery Design'!I56)^0.5)</f>
        <v>7</v>
      </c>
      <c r="J187" s="422">
        <f>IF(J63="CA",0,IF(J185="Refrig 1",Thermal!$G195,IF(J185="Refrig 2",Thermal!$G196,IF(J185="Refrig 3",Thermal!$G197,Thermal!$G198)))*('Battery Design'!J56)^0.5)</f>
        <v>7</v>
      </c>
      <c r="K187" s="422">
        <f>IF(K63="CA",0,IF(K185="Refrig 1",Thermal!$G195,IF(K185="Refrig 2",Thermal!$G196,IF(K185="Refrig 3",Thermal!$G197,Thermal!$G198)))*('Battery Design'!K56)^0.5)</f>
        <v>7</v>
      </c>
      <c r="L187" s="422">
        <f>IF(L63="CA",0,IF(L185="Refrig 1",Thermal!$G195,IF(L185="Refrig 2",Thermal!$G196,IF(L185="Refrig 3",Thermal!$G197,Thermal!$G198)))*('Battery Design'!L56)^0.5)</f>
        <v>7</v>
      </c>
      <c r="M187" s="422">
        <f>IF(M63="CA",0,IF(M185="Refrig 1",Thermal!$G195,IF(M185="Refrig 2",Thermal!$G196,IF(M185="Refrig 3",Thermal!$G197,Thermal!$G198)))*('Battery Design'!M56)^0.5)</f>
        <v>7</v>
      </c>
      <c r="N187" s="409"/>
      <c r="O187" s="275"/>
      <c r="P187" s="268"/>
      <c r="Q187" s="277"/>
      <c r="R187" s="150"/>
      <c r="S187" s="150"/>
      <c r="T187" s="324"/>
      <c r="U187" s="324"/>
    </row>
    <row r="188" spans="2:40">
      <c r="B188" s="853" t="s">
        <v>1164</v>
      </c>
      <c r="E188" s="324"/>
      <c r="F188" s="171"/>
      <c r="G188" s="422">
        <f>IF(G63="CA",0,IF(G185="Refrig 1",Thermal!$H195,IF(G185="Refrig 2",Thermal!$H196,IF(G185="Refrig 3",Thermal!$H197,Thermal!$H198)))*('Battery Design'!G56)^0.5)</f>
        <v>2.8</v>
      </c>
      <c r="H188" s="422">
        <f>IF(H63="CA",0,IF(H185="Refrig 1",Thermal!$H195,IF(H185="Refrig 2",Thermal!$H196,IF(H185="Refrig 3",Thermal!$H197,Thermal!$H198)))*('Battery Design'!H56)^0.5)</f>
        <v>2.8</v>
      </c>
      <c r="I188" s="422">
        <f>IF(I63="CA",0,IF(I185="Refrig 1",Thermal!$H195,IF(I185="Refrig 2",Thermal!$H196,IF(I185="Refrig 3",Thermal!$H197,Thermal!$H198)))*('Battery Design'!I56)^0.5)</f>
        <v>2.8</v>
      </c>
      <c r="J188" s="422">
        <f>IF(J63="CA",0,IF(J185="Refrig 1",Thermal!$H195,IF(J185="Refrig 2",Thermal!$H196,IF(J185="Refrig 3",Thermal!$H197,Thermal!$H198)))*('Battery Design'!J56)^0.5)</f>
        <v>2.8</v>
      </c>
      <c r="K188" s="422">
        <f>IF(K63="CA",0,IF(K185="Refrig 1",Thermal!$H195,IF(K185="Refrig 2",Thermal!$H196,IF(K185="Refrig 3",Thermal!$H197,Thermal!$H198)))*('Battery Design'!K56)^0.5)</f>
        <v>2.8</v>
      </c>
      <c r="L188" s="422">
        <f>IF(L63="CA",0,IF(L185="Refrig 1",Thermal!$H195,IF(L185="Refrig 2",Thermal!$H196,IF(L185="Refrig 3",Thermal!$H197,Thermal!$H198)))*('Battery Design'!L56)^0.5)</f>
        <v>2.8</v>
      </c>
      <c r="M188" s="422">
        <f>IF(M63="CA",0,IF(M185="Refrig 1",Thermal!$H195,IF(M185="Refrig 2",Thermal!$H196,IF(M185="Refrig 3",Thermal!$H197,Thermal!$H198)))*('Battery Design'!M56)^0.5)</f>
        <v>2.8</v>
      </c>
      <c r="N188" s="409"/>
      <c r="O188" s="275"/>
      <c r="P188" s="268"/>
      <c r="Q188" s="277"/>
      <c r="R188" s="150"/>
      <c r="S188" s="150"/>
      <c r="T188" s="324"/>
      <c r="U188" s="324"/>
    </row>
    <row r="189" spans="2:40" ht="16">
      <c r="B189" s="13" t="s">
        <v>617</v>
      </c>
      <c r="E189" s="324"/>
      <c r="F189" s="374"/>
      <c r="G189" s="423"/>
      <c r="H189" s="423"/>
      <c r="I189" s="423"/>
      <c r="J189" s="423"/>
      <c r="K189" s="423"/>
      <c r="L189" s="423"/>
      <c r="M189" s="423"/>
      <c r="N189" s="239"/>
      <c r="O189" s="239"/>
      <c r="P189" s="268"/>
      <c r="Q189" s="277"/>
      <c r="R189" s="338"/>
      <c r="S189" s="150"/>
      <c r="T189" s="324"/>
      <c r="U189" s="324"/>
    </row>
    <row r="190" spans="2:40">
      <c r="B190" s="853" t="s">
        <v>559</v>
      </c>
      <c r="E190" s="324"/>
      <c r="F190" s="374"/>
      <c r="G190" s="1072">
        <f>Dashboard!D40</f>
        <v>250</v>
      </c>
      <c r="H190" s="1072">
        <f>Dashboard!E40</f>
        <v>250</v>
      </c>
      <c r="I190" s="1072">
        <f>Dashboard!F40</f>
        <v>250</v>
      </c>
      <c r="J190" s="1072">
        <f>Dashboard!G40</f>
        <v>250</v>
      </c>
      <c r="K190" s="1072">
        <f>Dashboard!H40</f>
        <v>250</v>
      </c>
      <c r="L190" s="1072">
        <f>Dashboard!I40</f>
        <v>250</v>
      </c>
      <c r="M190" s="1072">
        <f>Dashboard!J40</f>
        <v>250</v>
      </c>
      <c r="N190" s="239"/>
      <c r="O190" s="170"/>
      <c r="P190" s="268"/>
      <c r="Q190" s="277"/>
      <c r="R190" s="170"/>
      <c r="S190" s="170"/>
      <c r="T190" s="170"/>
      <c r="U190" s="170"/>
      <c r="V190" s="170"/>
      <c r="W190" s="170"/>
      <c r="X190" s="170"/>
      <c r="Y190" s="170"/>
      <c r="Z190" s="170"/>
      <c r="AA190" s="170"/>
      <c r="AB190" s="170"/>
      <c r="AC190" s="170"/>
      <c r="AD190" s="170"/>
      <c r="AE190" s="170"/>
      <c r="AF190" s="170"/>
      <c r="AG190" s="170"/>
      <c r="AH190" s="170"/>
      <c r="AI190" s="170"/>
      <c r="AJ190" s="170"/>
      <c r="AK190" s="170"/>
      <c r="AL190" s="170"/>
      <c r="AM190" s="170"/>
      <c r="AN190" s="170"/>
    </row>
    <row r="191" spans="2:40">
      <c r="B191" s="853" t="s">
        <v>460</v>
      </c>
      <c r="E191" s="324"/>
      <c r="G191" s="170">
        <f>(G190/'Battery Design'!G56)</f>
        <v>250</v>
      </c>
      <c r="H191" s="170">
        <f>(H190/'Battery Design'!H56)</f>
        <v>250</v>
      </c>
      <c r="I191" s="170">
        <f>(I190/'Battery Design'!I56)</f>
        <v>250</v>
      </c>
      <c r="J191" s="170">
        <f>(J190/'Battery Design'!J56)</f>
        <v>250</v>
      </c>
      <c r="K191" s="170">
        <f>(K190/'Battery Design'!K56)</f>
        <v>250</v>
      </c>
      <c r="L191" s="170">
        <f>(L190/'Battery Design'!L56)</f>
        <v>250</v>
      </c>
      <c r="M191" s="170">
        <f>(M190/'Battery Design'!M56)</f>
        <v>250</v>
      </c>
      <c r="N191" s="239"/>
      <c r="O191" s="170"/>
      <c r="P191" s="268"/>
      <c r="Q191" s="277"/>
      <c r="R191" s="170"/>
      <c r="S191" s="170"/>
      <c r="T191" s="170"/>
      <c r="U191" s="170"/>
      <c r="V191" s="170"/>
      <c r="W191" s="170"/>
      <c r="X191" s="170"/>
      <c r="Y191" s="171"/>
      <c r="Z191" s="170"/>
      <c r="AA191" s="170"/>
      <c r="AB191" s="170"/>
      <c r="AC191" s="170"/>
      <c r="AD191" s="170"/>
      <c r="AE191" s="170"/>
      <c r="AF191" s="170"/>
      <c r="AG191" s="171"/>
      <c r="AH191" s="170"/>
      <c r="AI191" s="170"/>
      <c r="AJ191" s="170"/>
      <c r="AK191" s="170"/>
      <c r="AL191" s="170"/>
      <c r="AM191" s="170"/>
      <c r="AN191" s="170"/>
    </row>
    <row r="192" spans="2:40" ht="15" customHeight="1">
      <c r="B192" s="853" t="s">
        <v>155</v>
      </c>
      <c r="G192" s="1077">
        <f>Lists!$L42</f>
        <v>85</v>
      </c>
      <c r="H192" s="1077">
        <f>Lists!$L42</f>
        <v>85</v>
      </c>
      <c r="I192" s="1077">
        <f>Lists!$L42</f>
        <v>85</v>
      </c>
      <c r="J192" s="1077">
        <f>Lists!$L42</f>
        <v>85</v>
      </c>
      <c r="K192" s="1077">
        <f>Lists!$L42</f>
        <v>85</v>
      </c>
      <c r="L192" s="1077">
        <f>Lists!$L42</f>
        <v>85</v>
      </c>
      <c r="M192" s="1077">
        <f>Lists!$L42</f>
        <v>85</v>
      </c>
      <c r="N192" s="98"/>
      <c r="O192" s="285"/>
      <c r="P192" s="377"/>
      <c r="Q192" s="377"/>
      <c r="R192" s="285"/>
      <c r="S192" s="285"/>
      <c r="T192" s="285"/>
      <c r="U192" s="285"/>
      <c r="V192" s="285"/>
      <c r="W192" s="285"/>
      <c r="X192" s="285"/>
      <c r="Y192" s="171"/>
      <c r="Z192" s="285"/>
      <c r="AA192" s="285"/>
      <c r="AB192" s="285"/>
      <c r="AC192" s="285"/>
      <c r="AD192" s="285"/>
      <c r="AE192" s="285"/>
      <c r="AF192" s="285"/>
      <c r="AG192" s="171"/>
      <c r="AH192" s="285"/>
      <c r="AI192" s="285"/>
      <c r="AJ192" s="285"/>
      <c r="AK192" s="285"/>
      <c r="AL192" s="285"/>
      <c r="AM192" s="285"/>
      <c r="AN192" s="285"/>
    </row>
    <row r="193" spans="1:44" ht="16">
      <c r="B193" s="853" t="s">
        <v>156</v>
      </c>
      <c r="G193" s="185">
        <f t="shared" ref="G193:M193" ca="1" si="99">G147*G192/100/G191*1000</f>
        <v>339.99999999999983</v>
      </c>
      <c r="H193" s="185">
        <f t="shared" ca="1" si="99"/>
        <v>339.99999999999983</v>
      </c>
      <c r="I193" s="185">
        <f t="shared" ca="1" si="99"/>
        <v>339.99999999999983</v>
      </c>
      <c r="J193" s="185">
        <f t="shared" ca="1" si="99"/>
        <v>339.99999999999983</v>
      </c>
      <c r="K193" s="185">
        <f t="shared" ca="1" si="99"/>
        <v>339.99999999999983</v>
      </c>
      <c r="L193" s="185">
        <f t="shared" ca="1" si="99"/>
        <v>339.99999999999983</v>
      </c>
      <c r="M193" s="185">
        <f t="shared" ca="1" si="99"/>
        <v>339.99999999999983</v>
      </c>
      <c r="N193" s="76"/>
      <c r="O193" s="325"/>
      <c r="P193" s="378"/>
      <c r="Q193" s="378"/>
      <c r="R193" s="325"/>
      <c r="S193" s="325"/>
      <c r="T193" s="325"/>
      <c r="U193" s="325"/>
      <c r="V193" s="325"/>
      <c r="W193" s="325"/>
      <c r="X193" s="325"/>
      <c r="Y193" s="171"/>
      <c r="Z193" s="325"/>
      <c r="AA193" s="325"/>
      <c r="AB193" s="325"/>
      <c r="AC193" s="325"/>
      <c r="AD193" s="325"/>
      <c r="AE193" s="325"/>
      <c r="AF193" s="325"/>
      <c r="AG193" s="171"/>
      <c r="AH193" s="325"/>
      <c r="AI193" s="325"/>
      <c r="AJ193" s="325"/>
      <c r="AK193" s="325"/>
      <c r="AL193" s="325"/>
      <c r="AM193" s="325"/>
      <c r="AN193" s="325"/>
    </row>
    <row r="194" spans="1:44" ht="16">
      <c r="B194" s="13" t="s">
        <v>506</v>
      </c>
      <c r="C194" s="17"/>
      <c r="D194" s="17"/>
      <c r="F194" s="206" t="str">
        <f>IF(OR(G194="x",H194="x",I194="x",J194="x",K194="x",L194="x",M194="x"),"Inadequate capacity if X"," ")</f>
        <v xml:space="preserve"> </v>
      </c>
      <c r="G194" s="339"/>
      <c r="H194" s="339"/>
      <c r="I194" s="339"/>
      <c r="J194" s="339"/>
      <c r="K194" s="339"/>
      <c r="L194" s="339"/>
      <c r="M194" s="339"/>
      <c r="N194" s="274"/>
      <c r="O194" s="476"/>
      <c r="P194" s="378"/>
      <c r="Q194" s="378"/>
      <c r="R194" s="466"/>
      <c r="S194" s="466"/>
      <c r="T194" s="466"/>
      <c r="U194" s="466"/>
      <c r="V194" s="466"/>
      <c r="W194" s="466"/>
      <c r="X194" s="466"/>
      <c r="Y194" s="171"/>
      <c r="Z194" s="466"/>
      <c r="AA194" s="466"/>
      <c r="AB194" s="466"/>
      <c r="AC194" s="466"/>
      <c r="AD194" s="466"/>
      <c r="AE194" s="466"/>
      <c r="AF194" s="466"/>
      <c r="AG194" s="171"/>
      <c r="AH194" s="466"/>
      <c r="AI194" s="466"/>
      <c r="AJ194" s="466"/>
      <c r="AK194" s="466"/>
      <c r="AL194" s="466"/>
      <c r="AM194" s="466"/>
      <c r="AN194" s="466"/>
    </row>
    <row r="195" spans="1:44">
      <c r="B195" s="853" t="s">
        <v>420</v>
      </c>
      <c r="G195" s="325">
        <f>IF(Dashboard!D42&gt;0,Dashboard!D42,IF(Dashboard!D43&gt;0,Dashboard!D43*1000/G74*G69*G73/G47,Dashboard!D44*G191/G192*100/G74*G69*G73/G47))</f>
        <v>304.69226081657524</v>
      </c>
      <c r="H195" s="325">
        <f>IF(Dashboard!E42&gt;0,Dashboard!E42,IF(Dashboard!E43&gt;0,Dashboard!E43*1000/H74*H69*H73/H47,Dashboard!E44*H191/H192*100/H74*H69*H73/H47))</f>
        <v>304.69226081657524</v>
      </c>
      <c r="I195" s="325">
        <f>IF(Dashboard!F42&gt;0,Dashboard!F42,IF(Dashboard!F43&gt;0,Dashboard!F43*1000/I74*I69*I73/I47,Dashboard!F44*I191/I192*100/I74*I69*I73/I47))</f>
        <v>304.69226081657524</v>
      </c>
      <c r="J195" s="325">
        <f>IF(Dashboard!G42&gt;0,Dashboard!G42,IF(Dashboard!G43&gt;0,Dashboard!G43*1000/J74*J69*J73/J47,Dashboard!G44*J191/J192*100/J74*J69*J73/J47))</f>
        <v>304.69226081657524</v>
      </c>
      <c r="K195" s="325">
        <f>IF(Dashboard!H42&gt;0,Dashboard!H42,IF(Dashboard!H43&gt;0,Dashboard!H43*1000/K74*K69*K73/K47,Dashboard!H44*K191/K192*100/K74*K69*K73/K47))</f>
        <v>304.69226081657524</v>
      </c>
      <c r="L195" s="325">
        <f>IF(Dashboard!I42&gt;0,Dashboard!I42,IF(Dashboard!I43&gt;0,Dashboard!I43*1000/L74*L69*L73/L47,Dashboard!I44*L191/L192*100/L74*L69*L73/L47))</f>
        <v>304.69226081657524</v>
      </c>
      <c r="M195" s="325">
        <f>IF(Dashboard!J42&gt;0,Dashboard!J42,IF(Dashboard!J43&gt;0,Dashboard!J43*1000/M74*M69*M73/M47,Dashboard!J44*M191/M192*100/M74*M69*M73/M47))</f>
        <v>304.69226081657524</v>
      </c>
      <c r="N195" s="239"/>
      <c r="P195" s="352"/>
      <c r="Q195" s="168"/>
      <c r="R195" s="277"/>
      <c r="S195" s="277"/>
      <c r="T195" s="277"/>
      <c r="U195" s="277"/>
      <c r="V195" s="277"/>
      <c r="W195" s="277"/>
      <c r="X195" s="277"/>
      <c r="Y195" s="171"/>
      <c r="Z195" s="171"/>
      <c r="AA195" s="171"/>
      <c r="AB195" s="171"/>
      <c r="AC195" s="171"/>
      <c r="AD195" s="171"/>
      <c r="AE195" s="171"/>
      <c r="AF195" s="171"/>
      <c r="AG195" s="171"/>
      <c r="AH195" s="171"/>
      <c r="AI195" s="171"/>
      <c r="AJ195" s="171"/>
      <c r="AK195" s="171"/>
      <c r="AL195" s="171"/>
      <c r="AM195" s="171"/>
      <c r="AN195" s="171"/>
    </row>
    <row r="196" spans="1:44">
      <c r="A196" s="880" t="s">
        <v>991</v>
      </c>
      <c r="B196" s="853" t="s">
        <v>154</v>
      </c>
      <c r="G196" s="1092">
        <f ca="1">IF(Dashboard!$D56=0,G195,IF(Dashboard!D42&gt;0,Dashboard!D42,IF(Dashboard!D43&gt;0,IF(G147=Dashboard!D43,G197,G197-G198*(G147-Dashboard!D43)/Dashboard!D43),IF(G193=Dashboard!D44,G197,G197-G198*(G193-Dashboard!D44)/Dashboard!D44))))</f>
        <v>309.40234438966644</v>
      </c>
      <c r="H196" s="1092">
        <f ca="1">IF(Dashboard!$D56=0,H195,IF(Dashboard!E42&gt;0,Dashboard!E42,IF(Dashboard!E43&gt;0,IF(H147=Dashboard!E43,H197,H197-H198*(H147-Dashboard!E43)/Dashboard!E43),IF(H193=Dashboard!E44,H197,H197-H198*(H193-Dashboard!E44)/Dashboard!E44))))</f>
        <v>309.40234438966644</v>
      </c>
      <c r="I196" s="1092">
        <f ca="1">IF(Dashboard!$D56=0,I195,IF(Dashboard!F42&gt;0,Dashboard!F42,IF(Dashboard!F43&gt;0,IF(I147=Dashboard!F43,I197,I197-I198*(I147-Dashboard!F43)/Dashboard!F43),IF(I193=Dashboard!F44,I197,I197-I198*(I193-Dashboard!F44)/Dashboard!F44))))</f>
        <v>309.40234438966644</v>
      </c>
      <c r="J196" s="1092">
        <f ca="1">IF(Dashboard!$D56=0,J195,IF(Dashboard!G42&gt;0,Dashboard!G42,IF(Dashboard!G43&gt;0,IF(J147=Dashboard!G43,J197,J197-J198*(J147-Dashboard!G43)/Dashboard!G43),IF(J193=Dashboard!G44,J197,J197-J198*(J193-Dashboard!G44)/Dashboard!G44))))</f>
        <v>309.40234438966644</v>
      </c>
      <c r="K196" s="1092">
        <f ca="1">IF(Dashboard!$D56=0,K195,IF(Dashboard!H42&gt;0,Dashboard!H42,IF(Dashboard!H43&gt;0,IF(K147=Dashboard!H43,K197,K197-K198*(K147-Dashboard!H43)/Dashboard!H43),IF(K193=Dashboard!H44,K197,K197-K198*(K193-Dashboard!H44)/Dashboard!H44))))</f>
        <v>309.40234438966644</v>
      </c>
      <c r="L196" s="1092">
        <f ca="1">IF(Dashboard!$D56=0,L195,IF(Dashboard!I42&gt;0,Dashboard!I42,IF(Dashboard!I43&gt;0,IF(L147=Dashboard!I43,L197,L197-L198*(L147-Dashboard!I43)/Dashboard!I43),IF(L193=Dashboard!I44,L197,L197-L198*(L193-Dashboard!I44)/Dashboard!I44))))</f>
        <v>309.40234438966644</v>
      </c>
      <c r="M196" s="1092">
        <f ca="1">IF(Dashboard!$D56=0,M195,IF(Dashboard!J42&gt;0,Dashboard!J42,IF(Dashboard!J43&gt;0,IF(M147=Dashboard!J43,M197,M197-M198*(M147-Dashboard!J43)/Dashboard!J43),IF(M193=Dashboard!J44,M197,M197-M198*(M193-Dashboard!J44)/Dashboard!J44))))</f>
        <v>309.40234438966644</v>
      </c>
      <c r="N196" s="1093"/>
      <c r="O196" s="170"/>
      <c r="P196" s="267"/>
      <c r="R196" s="277"/>
      <c r="S196" s="277"/>
      <c r="T196" s="277"/>
      <c r="U196" s="277"/>
      <c r="V196" s="277"/>
      <c r="W196" s="277"/>
      <c r="X196" s="277"/>
      <c r="Y196" s="171"/>
      <c r="Z196" s="277"/>
      <c r="AA196" s="277"/>
      <c r="AB196" s="277"/>
      <c r="AC196" s="277"/>
      <c r="AD196" s="277"/>
      <c r="AE196" s="277"/>
      <c r="AF196" s="277"/>
      <c r="AG196" s="171"/>
      <c r="AH196" s="171"/>
      <c r="AI196" s="171"/>
      <c r="AJ196" s="171"/>
      <c r="AK196" s="171"/>
      <c r="AL196" s="171"/>
      <c r="AM196" s="171"/>
      <c r="AN196" s="171"/>
    </row>
    <row r="197" spans="1:44">
      <c r="B197" s="853" t="s">
        <v>1461</v>
      </c>
      <c r="G197" s="1092">
        <f t="shared" ref="G197:M197" ca="1" si="100">G196</f>
        <v>309.40234438966644</v>
      </c>
      <c r="H197" s="1092">
        <f t="shared" ca="1" si="100"/>
        <v>309.40234438966644</v>
      </c>
      <c r="I197" s="1092">
        <f t="shared" ca="1" si="100"/>
        <v>309.40234438966644</v>
      </c>
      <c r="J197" s="1092">
        <f t="shared" ca="1" si="100"/>
        <v>309.40234438966644</v>
      </c>
      <c r="K197" s="1092">
        <f t="shared" ca="1" si="100"/>
        <v>309.40234438966644</v>
      </c>
      <c r="L197" s="1092">
        <f t="shared" ca="1" si="100"/>
        <v>309.40234438966644</v>
      </c>
      <c r="M197" s="1092">
        <f t="shared" ca="1" si="100"/>
        <v>309.40234438966644</v>
      </c>
      <c r="N197" s="1093"/>
      <c r="O197" s="1094"/>
      <c r="P197" s="96"/>
      <c r="R197" s="277"/>
      <c r="S197" s="277"/>
      <c r="T197" s="277"/>
      <c r="U197" s="277"/>
      <c r="V197" s="277"/>
      <c r="W197" s="277"/>
      <c r="X197" s="277"/>
      <c r="Y197" s="171"/>
      <c r="Z197" s="277"/>
      <c r="AA197" s="277"/>
      <c r="AB197" s="277"/>
      <c r="AC197" s="277"/>
      <c r="AD197" s="277"/>
      <c r="AE197" s="277"/>
      <c r="AF197" s="277"/>
      <c r="AG197" s="171"/>
      <c r="AH197" s="171"/>
      <c r="AI197" s="171"/>
      <c r="AJ197" s="171"/>
      <c r="AK197" s="171"/>
      <c r="AL197" s="171"/>
      <c r="AM197" s="171"/>
      <c r="AN197" s="171"/>
    </row>
    <row r="198" spans="1:44" ht="18">
      <c r="B198" s="853" t="s">
        <v>1170</v>
      </c>
      <c r="G198" s="412">
        <f>G195*0.5</f>
        <v>152.34613040828762</v>
      </c>
      <c r="H198" s="412">
        <f t="shared" ref="H198:M198" si="101">H195*0.5</f>
        <v>152.34613040828762</v>
      </c>
      <c r="I198" s="412">
        <f t="shared" si="101"/>
        <v>152.34613040828762</v>
      </c>
      <c r="J198" s="412">
        <f t="shared" si="101"/>
        <v>152.34613040828762</v>
      </c>
      <c r="K198" s="412">
        <f t="shared" si="101"/>
        <v>152.34613040828762</v>
      </c>
      <c r="L198" s="412">
        <f t="shared" si="101"/>
        <v>152.34613040828762</v>
      </c>
      <c r="M198" s="412">
        <f t="shared" si="101"/>
        <v>152.34613040828762</v>
      </c>
      <c r="N198" s="239"/>
      <c r="O198" s="1094"/>
      <c r="P198" s="239"/>
      <c r="R198" s="377"/>
      <c r="S198" s="377"/>
      <c r="T198" s="377"/>
      <c r="U198" s="377"/>
      <c r="V198" s="377"/>
      <c r="W198" s="377"/>
      <c r="X198" s="171"/>
      <c r="Y198" s="171"/>
      <c r="Z198" s="467"/>
      <c r="AA198" s="467"/>
      <c r="AB198" s="467"/>
      <c r="AC198" s="467"/>
      <c r="AD198" s="467"/>
      <c r="AE198" s="467"/>
      <c r="AF198" s="467"/>
      <c r="AG198" s="171"/>
      <c r="AH198" s="285"/>
      <c r="AI198" s="285"/>
      <c r="AJ198" s="285"/>
      <c r="AK198" s="285"/>
      <c r="AL198" s="285"/>
      <c r="AM198" s="285"/>
      <c r="AN198" s="285"/>
    </row>
    <row r="199" spans="1:44" ht="16">
      <c r="B199" s="853" t="s">
        <v>1042</v>
      </c>
      <c r="G199" s="1095">
        <f ca="1">IF(Dashboard!$D56=0,G104,IF(G104=G200,G200,G200+G201*(G104-G200)))</f>
        <v>119.99999999999966</v>
      </c>
      <c r="H199" s="1095">
        <f ca="1">IF(Dashboard!$D56=0,H104,IF(H104=H200,H200,H200+H201*(H104-H200)))</f>
        <v>119.99999999999966</v>
      </c>
      <c r="I199" s="1095">
        <f ca="1">IF(Dashboard!$D56=0,I104,IF(I104=I200,I200,I200+I201*(I104-I200)))</f>
        <v>119.99999999999966</v>
      </c>
      <c r="J199" s="1095">
        <f ca="1">IF(Dashboard!$D56=0,J104,IF(J104=J200,J200,J200+J201*(J104-J200)))</f>
        <v>119.99999999999966</v>
      </c>
      <c r="K199" s="1095">
        <f ca="1">IF(Dashboard!$D56=0,K104,IF(K104=K200,K200,K200+K201*(K104-K200)))</f>
        <v>119.99999999999966</v>
      </c>
      <c r="L199" s="1095">
        <f ca="1">IF(Dashboard!$D56=0,L104,IF(L104=L200,L200,L200+L201*(L104-L200)))</f>
        <v>119.99999999999966</v>
      </c>
      <c r="M199" s="1095">
        <f ca="1">IF(Dashboard!$D56=0,M104,IF(M104=M200,M200,M200+M201*(M104-M200)))</f>
        <v>119.99999999999966</v>
      </c>
      <c r="N199" s="268"/>
      <c r="O199" s="374"/>
      <c r="P199" s="76"/>
      <c r="Q199" s="375"/>
      <c r="R199" s="378"/>
      <c r="S199" s="378"/>
      <c r="T199" s="378"/>
      <c r="U199" s="378"/>
      <c r="V199" s="378"/>
      <c r="W199" s="378"/>
    </row>
    <row r="200" spans="1:44" ht="16">
      <c r="B200" s="853" t="s">
        <v>1168</v>
      </c>
      <c r="G200" s="1095">
        <f t="shared" ref="G200:M200" ca="1" si="102">G199</f>
        <v>119.99999999999966</v>
      </c>
      <c r="H200" s="1095">
        <f t="shared" ca="1" si="102"/>
        <v>119.99999999999966</v>
      </c>
      <c r="I200" s="1095">
        <f t="shared" ca="1" si="102"/>
        <v>119.99999999999966</v>
      </c>
      <c r="J200" s="1095">
        <f t="shared" ca="1" si="102"/>
        <v>119.99999999999966</v>
      </c>
      <c r="K200" s="1095">
        <f t="shared" ca="1" si="102"/>
        <v>119.99999999999966</v>
      </c>
      <c r="L200" s="1095">
        <f t="shared" ca="1" si="102"/>
        <v>119.99999999999966</v>
      </c>
      <c r="M200" s="1095">
        <f t="shared" ca="1" si="102"/>
        <v>119.99999999999966</v>
      </c>
      <c r="N200" s="268"/>
      <c r="O200" s="270"/>
      <c r="P200" s="239"/>
      <c r="Q200" s="17"/>
      <c r="R200" s="378"/>
      <c r="S200" s="378"/>
      <c r="T200" s="378"/>
      <c r="U200" s="378"/>
      <c r="V200" s="378"/>
      <c r="W200" s="378"/>
    </row>
    <row r="201" spans="1:44">
      <c r="B201" s="853" t="s">
        <v>1169</v>
      </c>
      <c r="G201" s="197">
        <f>0.5</f>
        <v>0.5</v>
      </c>
      <c r="H201" s="197">
        <f t="shared" ref="H201:M201" si="103">0.5</f>
        <v>0.5</v>
      </c>
      <c r="I201" s="197">
        <f t="shared" si="103"/>
        <v>0.5</v>
      </c>
      <c r="J201" s="197">
        <f t="shared" si="103"/>
        <v>0.5</v>
      </c>
      <c r="K201" s="197">
        <f t="shared" si="103"/>
        <v>0.5</v>
      </c>
      <c r="L201" s="197">
        <f t="shared" si="103"/>
        <v>0.5</v>
      </c>
      <c r="M201" s="197">
        <f t="shared" si="103"/>
        <v>0.5</v>
      </c>
      <c r="N201" s="85"/>
      <c r="O201" s="1080"/>
      <c r="P201" s="162"/>
      <c r="Q201" s="162"/>
    </row>
    <row r="202" spans="1:44">
      <c r="B202" s="853" t="s">
        <v>601</v>
      </c>
      <c r="G202" s="411">
        <f ca="1">IF(Dashboard!$D56=0,0,IF(ABS(G203)&gt;(G35-2*G28/1000)/G114/2,0,IF(ABS(ROUND(G114,0)-G114)&lt;0.01,G203,G203+G204*(ROUND(G114,0)-G114))))</f>
        <v>1.8696318442373249E-2</v>
      </c>
      <c r="H202" s="411">
        <f ca="1">IF(Dashboard!$D56=0,0,IF(ABS(H203)&gt;(H35-2*H28/1000)/H114/2,0,IF(ABS(ROUND(H114,0)-H114)&lt;0.01,H203,H203+H204*(ROUND(H114,0)-H114))))</f>
        <v>1.8696318442373249E-2</v>
      </c>
      <c r="I202" s="411">
        <f ca="1">IF(Dashboard!$D56=0,0,IF(ABS(I203)&gt;(I35-2*I28/1000)/I114/2,0,IF(ABS(ROUND(I114,0)-I114)&lt;0.01,I203,I203+I204*(ROUND(I114,0)-I114))))</f>
        <v>1.8696318442373249E-2</v>
      </c>
      <c r="J202" s="411">
        <f ca="1">IF(Dashboard!$D56=0,0,IF(ABS(J203)&gt;(J35-2*J28/1000)/J114/2,0,IF(ABS(ROUND(J114,0)-J114)&lt;0.01,J203,J203+J204*(ROUND(J114,0)-J114))))</f>
        <v>1.8696318442373249E-2</v>
      </c>
      <c r="K202" s="411">
        <f ca="1">IF(Dashboard!$D56=0,0,IF(ABS(K203)&gt;(K35-2*K28/1000)/K114/2,0,IF(ABS(ROUND(K114,0)-K114)&lt;0.01,K203,K203+K204*(ROUND(K114,0)-K114))))</f>
        <v>1.8696318442373249E-2</v>
      </c>
      <c r="L202" s="411">
        <f ca="1">IF(Dashboard!$D56=0,0,IF(ABS(L203)&gt;(L35-2*L28/1000)/L114/2,0,IF(ABS(ROUND(L114,0)-L114)&lt;0.01,L203,L203+L204*(ROUND(L114,0)-L114))))</f>
        <v>1.8696318442373249E-2</v>
      </c>
      <c r="M202" s="411">
        <f ca="1">IF(Dashboard!$D56=0,0,IF(ABS(M203)&gt;(M35-2*M28/1000)/M114/2,0,IF(ABS(ROUND(M114,0)-M114)&lt;0.01,M203,M203+M204*(ROUND(M114,0)-M114))))</f>
        <v>1.8696318442373249E-2</v>
      </c>
      <c r="N202" s="268"/>
      <c r="O202" s="374"/>
      <c r="P202" s="185"/>
      <c r="Q202" s="185"/>
    </row>
    <row r="203" spans="1:44">
      <c r="B203" s="853" t="s">
        <v>1171</v>
      </c>
      <c r="G203" s="1095">
        <f t="shared" ref="G203:M203" ca="1" si="104">G202</f>
        <v>1.8696318442373249E-2</v>
      </c>
      <c r="H203" s="1095">
        <f t="shared" ca="1" si="104"/>
        <v>1.8696318442373249E-2</v>
      </c>
      <c r="I203" s="1095">
        <f t="shared" ca="1" si="104"/>
        <v>1.8696318442373249E-2</v>
      </c>
      <c r="J203" s="1095">
        <f t="shared" ca="1" si="104"/>
        <v>1.8696318442373249E-2</v>
      </c>
      <c r="K203" s="1095">
        <f t="shared" ca="1" si="104"/>
        <v>1.8696318442373249E-2</v>
      </c>
      <c r="L203" s="1095">
        <f t="shared" ca="1" si="104"/>
        <v>1.8696318442373249E-2</v>
      </c>
      <c r="M203" s="1095">
        <f t="shared" ca="1" si="104"/>
        <v>1.8696318442373249E-2</v>
      </c>
      <c r="N203" s="268"/>
      <c r="O203" s="326"/>
      <c r="P203" s="162"/>
      <c r="Q203" s="162"/>
    </row>
    <row r="204" spans="1:44">
      <c r="B204" s="853" t="s">
        <v>1167</v>
      </c>
      <c r="G204" s="197">
        <f>0.1</f>
        <v>0.1</v>
      </c>
      <c r="H204" s="197">
        <f t="shared" ref="H204:M204" si="105">0.1</f>
        <v>0.1</v>
      </c>
      <c r="I204" s="197">
        <f t="shared" si="105"/>
        <v>0.1</v>
      </c>
      <c r="J204" s="197">
        <f t="shared" si="105"/>
        <v>0.1</v>
      </c>
      <c r="K204" s="197">
        <f t="shared" si="105"/>
        <v>0.1</v>
      </c>
      <c r="L204" s="197">
        <f t="shared" si="105"/>
        <v>0.1</v>
      </c>
      <c r="M204" s="197">
        <f t="shared" si="105"/>
        <v>0.1</v>
      </c>
      <c r="N204" s="85"/>
      <c r="O204" s="325"/>
      <c r="P204" s="162"/>
      <c r="Q204" s="162"/>
      <c r="AO204" s="375"/>
      <c r="AP204" s="375"/>
      <c r="AQ204" s="375"/>
      <c r="AR204" s="375"/>
    </row>
    <row r="205" spans="1:44">
      <c r="A205" s="880" t="s">
        <v>991</v>
      </c>
      <c r="B205" s="41" t="s">
        <v>701</v>
      </c>
      <c r="C205" s="41"/>
      <c r="D205" s="41"/>
      <c r="E205" s="41"/>
      <c r="G205" s="468">
        <f>Dashboard!D39</f>
        <v>1000</v>
      </c>
      <c r="H205" s="468">
        <f>Dashboard!E39</f>
        <v>20000</v>
      </c>
      <c r="I205" s="468">
        <f>Dashboard!F39</f>
        <v>30000</v>
      </c>
      <c r="J205" s="468">
        <f>Dashboard!G39</f>
        <v>40000</v>
      </c>
      <c r="K205" s="468">
        <f>Dashboard!H39</f>
        <v>50000</v>
      </c>
      <c r="L205" s="468">
        <f>Dashboard!I39</f>
        <v>75000</v>
      </c>
      <c r="M205" s="468">
        <f>Dashboard!J39</f>
        <v>100000</v>
      </c>
      <c r="N205" s="419"/>
      <c r="O205" s="96"/>
    </row>
    <row r="206" spans="1:44">
      <c r="G206" s="251"/>
      <c r="H206" s="251"/>
      <c r="I206" s="251"/>
      <c r="J206" s="251"/>
      <c r="K206" s="251"/>
      <c r="L206" s="251"/>
      <c r="M206" s="251"/>
      <c r="N206" s="270"/>
      <c r="O206" s="162"/>
      <c r="P206" s="165"/>
      <c r="Q206" s="165"/>
      <c r="Y206" s="375"/>
      <c r="Z206" s="375"/>
      <c r="AA206" s="375"/>
      <c r="AB206" s="375"/>
      <c r="AC206" s="17"/>
      <c r="AD206" s="375"/>
      <c r="AE206" s="375"/>
      <c r="AF206" s="375"/>
      <c r="AG206" s="375"/>
      <c r="AH206" s="375"/>
      <c r="AI206" s="375"/>
      <c r="AJ206" s="375"/>
      <c r="AK206" s="17"/>
      <c r="AL206" s="375"/>
      <c r="AM206" s="375"/>
      <c r="AN206" s="375"/>
      <c r="AO206" s="234"/>
      <c r="AP206" s="234"/>
      <c r="AQ206" s="234"/>
      <c r="AR206" s="234"/>
    </row>
    <row r="207" spans="1:44" ht="12.75" customHeight="1">
      <c r="B207" s="1293" t="s">
        <v>511</v>
      </c>
      <c r="C207" s="1293"/>
      <c r="D207" s="1293"/>
      <c r="E207" s="1293"/>
      <c r="F207" s="1293"/>
      <c r="G207" s="846" t="str">
        <f t="shared" ref="G207:M207" si="106">G6</f>
        <v>Battery 1</v>
      </c>
      <c r="H207" s="846" t="str">
        <f t="shared" si="106"/>
        <v>Battery 2</v>
      </c>
      <c r="I207" s="846" t="str">
        <f t="shared" si="106"/>
        <v>Battery 3</v>
      </c>
      <c r="J207" s="846" t="str">
        <f t="shared" si="106"/>
        <v>Battery 4</v>
      </c>
      <c r="K207" s="846" t="str">
        <f t="shared" si="106"/>
        <v>Battery 5</v>
      </c>
      <c r="L207" s="846" t="str">
        <f t="shared" si="106"/>
        <v>Battery 6</v>
      </c>
      <c r="M207" s="846" t="str">
        <f t="shared" si="106"/>
        <v>Battery 7</v>
      </c>
      <c r="N207" s="96"/>
      <c r="O207" s="25"/>
      <c r="P207" s="21"/>
      <c r="Q207" s="21"/>
      <c r="R207" s="17"/>
      <c r="S207" s="17"/>
      <c r="T207" s="17"/>
      <c r="U207" s="17"/>
      <c r="V207" s="17"/>
      <c r="W207" s="17"/>
      <c r="X207" s="17"/>
      <c r="Y207" s="17"/>
      <c r="Z207" s="17"/>
      <c r="AA207" s="17"/>
      <c r="AB207" s="17"/>
      <c r="AC207" s="17"/>
      <c r="AD207" s="17"/>
      <c r="AE207" s="17"/>
      <c r="AF207" s="17"/>
      <c r="AG207" s="17"/>
      <c r="AH207" s="17"/>
      <c r="AI207" s="17"/>
      <c r="AJ207" s="17"/>
      <c r="AK207" s="17"/>
      <c r="AL207" s="17"/>
      <c r="AM207" s="17"/>
      <c r="AN207" s="17"/>
      <c r="AO207" s="25"/>
      <c r="AP207" s="25"/>
      <c r="AQ207" s="25"/>
      <c r="AR207" s="25"/>
    </row>
    <row r="208" spans="1:44">
      <c r="A208" s="880" t="s">
        <v>991</v>
      </c>
      <c r="B208" s="1274" t="s">
        <v>1030</v>
      </c>
      <c r="C208" s="1274"/>
      <c r="D208" s="1274"/>
      <c r="E208" s="1274"/>
      <c r="F208" s="1274"/>
      <c r="G208" s="1096">
        <f>'Summary of Results'!G13</f>
        <v>200</v>
      </c>
      <c r="H208" s="1096">
        <f>'Summary of Results'!H13</f>
        <v>200</v>
      </c>
      <c r="I208" s="1096">
        <f>'Summary of Results'!I13</f>
        <v>200</v>
      </c>
      <c r="J208" s="1096">
        <f>'Summary of Results'!J13</f>
        <v>200</v>
      </c>
      <c r="K208" s="1096">
        <f>'Summary of Results'!K13</f>
        <v>200</v>
      </c>
      <c r="L208" s="1096">
        <f>'Summary of Results'!L13</f>
        <v>200</v>
      </c>
      <c r="M208" s="1096">
        <f>'Summary of Results'!M13</f>
        <v>200</v>
      </c>
      <c r="N208" s="239"/>
      <c r="O208" s="234"/>
      <c r="P208" s="234"/>
      <c r="Q208" s="234"/>
      <c r="R208" s="234"/>
      <c r="S208" s="234"/>
      <c r="T208" s="234"/>
      <c r="U208" s="234"/>
      <c r="V208" s="17"/>
      <c r="W208" s="17"/>
      <c r="X208" s="17"/>
      <c r="Y208" s="234"/>
      <c r="Z208" s="234"/>
      <c r="AA208" s="234"/>
      <c r="AB208" s="234"/>
      <c r="AC208" s="17"/>
      <c r="AD208" s="234"/>
      <c r="AE208" s="234"/>
      <c r="AF208" s="234"/>
      <c r="AG208" s="234"/>
      <c r="AH208" s="234"/>
      <c r="AI208" s="234"/>
      <c r="AJ208" s="234"/>
      <c r="AK208" s="17"/>
      <c r="AL208" s="234"/>
      <c r="AM208" s="234"/>
      <c r="AN208" s="234"/>
      <c r="AO208" s="234"/>
      <c r="AP208" s="234"/>
      <c r="AQ208" s="234"/>
      <c r="AR208" s="234"/>
    </row>
    <row r="209" spans="1:44">
      <c r="A209" s="880" t="s">
        <v>991</v>
      </c>
      <c r="B209" s="1274" t="s">
        <v>1133</v>
      </c>
      <c r="C209" s="1274"/>
      <c r="D209" s="1274"/>
      <c r="E209" s="1274"/>
      <c r="F209" s="1274"/>
      <c r="G209" s="438">
        <f ca="1">'Summary of Results'!G9</f>
        <v>99.999999999999957</v>
      </c>
      <c r="H209" s="438">
        <f ca="1">'Summary of Results'!H9</f>
        <v>99.999999999999957</v>
      </c>
      <c r="I209" s="438">
        <f ca="1">'Summary of Results'!I9</f>
        <v>99.999999999999957</v>
      </c>
      <c r="J209" s="438">
        <f ca="1">'Summary of Results'!J9</f>
        <v>99.999999999999957</v>
      </c>
      <c r="K209" s="438">
        <f ca="1">'Summary of Results'!K9</f>
        <v>99.999999999999957</v>
      </c>
      <c r="L209" s="438">
        <f ca="1">'Summary of Results'!L9</f>
        <v>99.999999999999957</v>
      </c>
      <c r="M209" s="438">
        <f ca="1">'Summary of Results'!M9</f>
        <v>99.999999999999957</v>
      </c>
      <c r="N209" s="76"/>
      <c r="O209" s="1276"/>
      <c r="P209" s="1276"/>
      <c r="Q209" s="1276"/>
      <c r="R209" s="1276"/>
      <c r="S209" s="1276"/>
      <c r="T209" s="25"/>
      <c r="U209" s="1276"/>
      <c r="V209" s="1276"/>
      <c r="W209" s="1276"/>
      <c r="X209" s="1276"/>
      <c r="Y209" s="1276"/>
      <c r="Z209" s="25"/>
      <c r="AA209" s="1276"/>
      <c r="AB209" s="1276"/>
      <c r="AC209" s="1276"/>
      <c r="AD209" s="1276"/>
      <c r="AE209" s="1276"/>
      <c r="AF209" s="25"/>
      <c r="AG209" s="25"/>
      <c r="AH209" s="25"/>
      <c r="AI209" s="25"/>
      <c r="AJ209" s="25"/>
      <c r="AK209" s="17"/>
      <c r="AL209" s="25"/>
      <c r="AM209" s="25"/>
      <c r="AN209" s="25"/>
      <c r="AO209" s="234"/>
      <c r="AP209" s="234"/>
      <c r="AQ209" s="234"/>
      <c r="AR209" s="234"/>
    </row>
    <row r="210" spans="1:44">
      <c r="A210" s="880" t="s">
        <v>991</v>
      </c>
      <c r="B210" s="1274" t="s">
        <v>1134</v>
      </c>
      <c r="C210" s="1274"/>
      <c r="D210" s="1274"/>
      <c r="E210" s="1274"/>
      <c r="F210" s="1274"/>
      <c r="G210" s="438">
        <f ca="1">G208/G209</f>
        <v>2.0000000000000009</v>
      </c>
      <c r="H210" s="438">
        <f t="shared" ref="H210:M210" ca="1" si="107">H208/H209</f>
        <v>2.0000000000000009</v>
      </c>
      <c r="I210" s="438">
        <f t="shared" ca="1" si="107"/>
        <v>2.0000000000000009</v>
      </c>
      <c r="J210" s="438">
        <f t="shared" ca="1" si="107"/>
        <v>2.0000000000000009</v>
      </c>
      <c r="K210" s="438">
        <f t="shared" ca="1" si="107"/>
        <v>2.0000000000000009</v>
      </c>
      <c r="L210" s="438">
        <f t="shared" ca="1" si="107"/>
        <v>2.0000000000000009</v>
      </c>
      <c r="M210" s="438">
        <f t="shared" ca="1" si="107"/>
        <v>2.0000000000000009</v>
      </c>
      <c r="N210" s="76"/>
      <c r="O210" s="878"/>
      <c r="P210" s="878"/>
      <c r="Q210" s="878"/>
      <c r="R210" s="878"/>
      <c r="S210" s="878"/>
      <c r="T210" s="25"/>
      <c r="U210" s="878"/>
      <c r="V210" s="878"/>
      <c r="W210" s="878"/>
      <c r="X210" s="878"/>
      <c r="Y210" s="878"/>
      <c r="Z210" s="25"/>
      <c r="AA210" s="878"/>
      <c r="AB210" s="878"/>
      <c r="AC210" s="878"/>
      <c r="AD210" s="878"/>
      <c r="AE210" s="878"/>
      <c r="AF210" s="25"/>
      <c r="AG210" s="25"/>
      <c r="AH210" s="25"/>
      <c r="AI210" s="25"/>
      <c r="AJ210" s="25"/>
      <c r="AK210" s="17"/>
      <c r="AL210" s="25"/>
      <c r="AM210" s="25"/>
      <c r="AN210" s="25"/>
      <c r="AO210" s="234"/>
      <c r="AP210" s="234"/>
      <c r="AQ210" s="234"/>
      <c r="AR210" s="234"/>
    </row>
    <row r="211" spans="1:44" ht="15">
      <c r="A211" s="880" t="s">
        <v>991</v>
      </c>
      <c r="B211" s="1274" t="s">
        <v>1135</v>
      </c>
      <c r="C211" s="1274"/>
      <c r="D211" s="1274"/>
      <c r="E211" s="1274"/>
      <c r="F211" s="1274"/>
      <c r="G211" s="438">
        <f ca="1">G209*(G192/100)</f>
        <v>84.999999999999957</v>
      </c>
      <c r="H211" s="438">
        <f t="shared" ref="H211:M211" ca="1" si="108">H209*(H192/100)</f>
        <v>84.999999999999957</v>
      </c>
      <c r="I211" s="438">
        <f t="shared" ca="1" si="108"/>
        <v>84.999999999999957</v>
      </c>
      <c r="J211" s="438">
        <f t="shared" ca="1" si="108"/>
        <v>84.999999999999957</v>
      </c>
      <c r="K211" s="438">
        <f t="shared" ca="1" si="108"/>
        <v>84.999999999999957</v>
      </c>
      <c r="L211" s="438">
        <f t="shared" ca="1" si="108"/>
        <v>84.999999999999957</v>
      </c>
      <c r="M211" s="438">
        <f t="shared" ca="1" si="108"/>
        <v>84.999999999999957</v>
      </c>
      <c r="N211" s="76"/>
      <c r="O211" s="878"/>
      <c r="P211" s="878"/>
      <c r="Q211" s="878"/>
      <c r="R211" s="878"/>
      <c r="S211" s="878"/>
      <c r="T211" s="25"/>
      <c r="U211" s="878"/>
      <c r="V211" s="878"/>
      <c r="W211" s="878"/>
      <c r="X211" s="878"/>
      <c r="Y211" s="878"/>
      <c r="Z211" s="25"/>
      <c r="AA211" s="878"/>
      <c r="AB211" s="878"/>
      <c r="AC211" s="878"/>
      <c r="AD211" s="878"/>
      <c r="AE211" s="878"/>
      <c r="AF211" s="25"/>
      <c r="AG211" s="25"/>
      <c r="AH211" s="25"/>
      <c r="AI211" s="25"/>
      <c r="AJ211" s="25"/>
      <c r="AK211" s="17"/>
      <c r="AL211" s="25"/>
      <c r="AM211" s="25"/>
      <c r="AN211" s="25"/>
      <c r="AO211" s="234"/>
      <c r="AP211" s="234"/>
      <c r="AQ211" s="234"/>
      <c r="AR211" s="234"/>
    </row>
    <row r="212" spans="1:44">
      <c r="A212" s="880" t="s">
        <v>991</v>
      </c>
      <c r="B212" s="1274" t="s">
        <v>1136</v>
      </c>
      <c r="C212" s="1274"/>
      <c r="D212" s="1274"/>
      <c r="E212" s="1274"/>
      <c r="F212" s="1274"/>
      <c r="G212" s="1096">
        <f ca="1">G182</f>
        <v>544.79122628184587</v>
      </c>
      <c r="H212" s="1096">
        <f t="shared" ref="H212:M212" ca="1" si="109">H182</f>
        <v>544.79122628184587</v>
      </c>
      <c r="I212" s="1096">
        <f t="shared" ca="1" si="109"/>
        <v>544.79122628184587</v>
      </c>
      <c r="J212" s="1096">
        <f t="shared" ca="1" si="109"/>
        <v>544.79122628184587</v>
      </c>
      <c r="K212" s="1096">
        <f t="shared" ca="1" si="109"/>
        <v>544.79122628184587</v>
      </c>
      <c r="L212" s="1096">
        <f t="shared" ca="1" si="109"/>
        <v>544.79122628184587</v>
      </c>
      <c r="M212" s="1096">
        <f t="shared" ca="1" si="109"/>
        <v>544.79122628184587</v>
      </c>
      <c r="N212" s="239"/>
      <c r="O212" s="234"/>
      <c r="P212" s="42"/>
      <c r="Q212" s="42"/>
      <c r="R212" s="42"/>
      <c r="S212" s="42"/>
      <c r="T212" s="234"/>
      <c r="U212" s="234"/>
      <c r="V212" s="42"/>
      <c r="W212" s="42"/>
      <c r="X212" s="42"/>
      <c r="Y212" s="42"/>
      <c r="Z212" s="234"/>
      <c r="AA212" s="234"/>
      <c r="AB212" s="42"/>
      <c r="AC212" s="42"/>
      <c r="AD212" s="42"/>
      <c r="AE212" s="42"/>
      <c r="AF212" s="234"/>
      <c r="AG212" s="234"/>
      <c r="AH212" s="234"/>
      <c r="AI212" s="234"/>
      <c r="AJ212" s="234"/>
      <c r="AK212" s="17"/>
      <c r="AL212" s="234"/>
      <c r="AM212" s="234"/>
      <c r="AN212" s="234"/>
      <c r="AO212" s="21"/>
      <c r="AP212" s="21"/>
      <c r="AQ212" s="21"/>
      <c r="AR212" s="21"/>
    </row>
    <row r="213" spans="1:44">
      <c r="A213" s="880" t="s">
        <v>991</v>
      </c>
      <c r="B213" s="1274" t="s">
        <v>1137</v>
      </c>
      <c r="C213" s="1274"/>
      <c r="D213" s="1274"/>
      <c r="E213" s="1274"/>
      <c r="F213" s="1274"/>
      <c r="G213" s="438">
        <f ca="1">'USABC Data'!F18/G75</f>
        <v>1.0613753297348294</v>
      </c>
      <c r="H213" s="438">
        <f ca="1">'USABC Data'!G18/H75</f>
        <v>1.0613753297348294</v>
      </c>
      <c r="I213" s="438">
        <f ca="1">'USABC Data'!H18/I75</f>
        <v>1.0613753297348294</v>
      </c>
      <c r="J213" s="438">
        <f ca="1">'USABC Data'!I18/J75</f>
        <v>1.0613753297348294</v>
      </c>
      <c r="K213" s="438">
        <f ca="1">'USABC Data'!J18/K75</f>
        <v>1.0613753297348294</v>
      </c>
      <c r="L213" s="438">
        <f ca="1">'USABC Data'!K18/L75</f>
        <v>1.0613753297348294</v>
      </c>
      <c r="M213" s="438">
        <f ca="1">'USABC Data'!L18/M75</f>
        <v>1.0613753297348294</v>
      </c>
      <c r="N213" s="239"/>
      <c r="O213" s="234"/>
      <c r="P213" s="42"/>
      <c r="Q213" s="42"/>
      <c r="R213" s="42"/>
      <c r="S213" s="42"/>
      <c r="T213" s="234"/>
      <c r="U213" s="234"/>
      <c r="V213" s="42"/>
      <c r="W213" s="42"/>
      <c r="X213" s="42"/>
      <c r="Y213" s="42"/>
      <c r="Z213" s="234"/>
      <c r="AA213" s="234"/>
      <c r="AB213" s="42"/>
      <c r="AC213" s="42"/>
      <c r="AD213" s="42"/>
      <c r="AE213" s="42"/>
      <c r="AF213" s="234"/>
      <c r="AG213" s="234"/>
      <c r="AH213" s="234"/>
      <c r="AI213" s="234"/>
      <c r="AJ213" s="234"/>
      <c r="AK213" s="17"/>
      <c r="AL213" s="234"/>
      <c r="AM213" s="234"/>
      <c r="AN213" s="234"/>
      <c r="AO213" s="21"/>
      <c r="AP213" s="21"/>
      <c r="AQ213" s="21"/>
      <c r="AR213" s="21"/>
    </row>
    <row r="214" spans="1:44">
      <c r="A214" s="880" t="s">
        <v>991</v>
      </c>
      <c r="B214" s="1274" t="s">
        <v>1035</v>
      </c>
      <c r="C214" s="1274"/>
      <c r="D214" s="1274"/>
      <c r="E214" s="1274"/>
      <c r="F214" s="1274"/>
      <c r="G214" s="1096">
        <f ca="1">G181</f>
        <v>290.66291258075501</v>
      </c>
      <c r="H214" s="1096">
        <f t="shared" ref="H214:M214" ca="1" si="110">H181</f>
        <v>290.66291258075501</v>
      </c>
      <c r="I214" s="1096">
        <f t="shared" ca="1" si="110"/>
        <v>290.66291258075501</v>
      </c>
      <c r="J214" s="1096">
        <f t="shared" ca="1" si="110"/>
        <v>290.66291258075501</v>
      </c>
      <c r="K214" s="1096">
        <f t="shared" ca="1" si="110"/>
        <v>290.66291258075501</v>
      </c>
      <c r="L214" s="1096">
        <f t="shared" ca="1" si="110"/>
        <v>290.66291258075501</v>
      </c>
      <c r="M214" s="1096">
        <f t="shared" ca="1" si="110"/>
        <v>290.66291258075501</v>
      </c>
      <c r="N214" s="239"/>
      <c r="O214" s="407"/>
      <c r="P214" s="234"/>
      <c r="Q214" s="234"/>
      <c r="R214" s="234"/>
      <c r="S214" s="234"/>
      <c r="T214" s="21"/>
      <c r="U214" s="407"/>
      <c r="V214" s="234"/>
      <c r="W214" s="234"/>
      <c r="X214" s="234"/>
      <c r="Y214" s="234"/>
      <c r="Z214" s="21"/>
      <c r="AA214" s="407"/>
      <c r="AB214" s="234"/>
      <c r="AC214" s="234"/>
      <c r="AD214" s="234"/>
      <c r="AE214" s="234"/>
      <c r="AF214" s="234"/>
      <c r="AG214" s="234"/>
      <c r="AH214" s="234"/>
      <c r="AI214" s="234"/>
      <c r="AJ214" s="234"/>
      <c r="AK214" s="17"/>
      <c r="AL214" s="234"/>
      <c r="AM214" s="234"/>
      <c r="AN214" s="234"/>
      <c r="AO214" s="21"/>
      <c r="AP214" s="21"/>
      <c r="AQ214" s="21"/>
      <c r="AR214" s="21"/>
    </row>
    <row r="215" spans="1:44">
      <c r="A215" s="880" t="s">
        <v>991</v>
      </c>
      <c r="B215" s="1274" t="s">
        <v>1138</v>
      </c>
      <c r="C215" s="1274"/>
      <c r="D215" s="1274"/>
      <c r="E215" s="1274"/>
      <c r="F215" s="1274"/>
      <c r="G215" s="438">
        <f ca="1">'USABC Data'!F33/G74</f>
        <v>0.41591683009703678</v>
      </c>
      <c r="H215" s="438">
        <f ca="1">'USABC Data'!G33/H74</f>
        <v>0.41591683009703678</v>
      </c>
      <c r="I215" s="438">
        <f ca="1">'USABC Data'!H33/I74</f>
        <v>0.41591683009703678</v>
      </c>
      <c r="J215" s="438">
        <f ca="1">'USABC Data'!I33/J74</f>
        <v>0.41591683009703678</v>
      </c>
      <c r="K215" s="438">
        <f ca="1">'USABC Data'!J33/K74</f>
        <v>0.41591683009703678</v>
      </c>
      <c r="L215" s="438">
        <f ca="1">'USABC Data'!K33/L74</f>
        <v>0.41591683009703678</v>
      </c>
      <c r="M215" s="438">
        <f ca="1">'USABC Data'!L33/M74</f>
        <v>0.41591683009703678</v>
      </c>
      <c r="N215" s="239"/>
      <c r="O215" s="407"/>
      <c r="P215" s="234"/>
      <c r="Q215" s="234"/>
      <c r="R215" s="234"/>
      <c r="S215" s="234"/>
      <c r="T215" s="21"/>
      <c r="U215" s="407"/>
      <c r="V215" s="234"/>
      <c r="W215" s="234"/>
      <c r="X215" s="234"/>
      <c r="Y215" s="234"/>
      <c r="Z215" s="21"/>
      <c r="AA215" s="407"/>
      <c r="AB215" s="234"/>
      <c r="AC215" s="234"/>
      <c r="AD215" s="234"/>
      <c r="AE215" s="234"/>
      <c r="AF215" s="234"/>
      <c r="AG215" s="234"/>
      <c r="AH215" s="234"/>
      <c r="AI215" s="234"/>
      <c r="AJ215" s="234"/>
      <c r="AK215" s="17"/>
      <c r="AL215" s="234"/>
      <c r="AM215" s="234"/>
      <c r="AN215" s="234"/>
      <c r="AO215" s="21"/>
      <c r="AP215" s="21"/>
      <c r="AQ215" s="21"/>
      <c r="AR215" s="21"/>
    </row>
    <row r="216" spans="1:44">
      <c r="A216" s="880" t="s">
        <v>991</v>
      </c>
      <c r="B216" s="1273" t="s">
        <v>1039</v>
      </c>
      <c r="C216" s="1273"/>
      <c r="D216" s="1273"/>
      <c r="E216" s="1273"/>
      <c r="F216" s="1273"/>
      <c r="G216" s="1097">
        <f ca="1">(G209*1000/G75)/G213</f>
        <v>235.54344348898621</v>
      </c>
      <c r="H216" s="1097">
        <f t="shared" ref="H216:M216" ca="1" si="111">(H209*1000/H75)/H213</f>
        <v>235.54344348898621</v>
      </c>
      <c r="I216" s="1097">
        <f t="shared" ca="1" si="111"/>
        <v>235.54344348898621</v>
      </c>
      <c r="J216" s="1097">
        <f t="shared" ca="1" si="111"/>
        <v>235.54344348898621</v>
      </c>
      <c r="K216" s="1097">
        <f t="shared" ca="1" si="111"/>
        <v>235.54344348898621</v>
      </c>
      <c r="L216" s="1097">
        <f t="shared" ca="1" si="111"/>
        <v>235.54344348898621</v>
      </c>
      <c r="M216" s="1097">
        <f t="shared" ca="1" si="111"/>
        <v>235.54344348898621</v>
      </c>
      <c r="N216" s="162" t="s">
        <v>1561</v>
      </c>
      <c r="O216" s="407"/>
      <c r="P216" s="234"/>
      <c r="Q216" s="234"/>
      <c r="R216" s="234"/>
      <c r="S216" s="234"/>
      <c r="T216" s="21"/>
      <c r="U216" s="407"/>
      <c r="V216" s="234"/>
      <c r="W216" s="234"/>
      <c r="X216" s="234"/>
      <c r="Y216" s="234"/>
      <c r="Z216" s="21"/>
      <c r="AA216" s="407"/>
      <c r="AB216" s="234"/>
      <c r="AC216" s="234"/>
      <c r="AD216" s="234"/>
      <c r="AE216" s="234"/>
      <c r="AF216" s="234"/>
      <c r="AG216" s="234"/>
      <c r="AH216" s="234"/>
      <c r="AI216" s="234"/>
      <c r="AJ216" s="234"/>
      <c r="AK216" s="17"/>
      <c r="AL216" s="234"/>
      <c r="AM216" s="234"/>
      <c r="AN216" s="234"/>
      <c r="AO216" s="21"/>
      <c r="AP216" s="21"/>
      <c r="AQ216" s="21"/>
      <c r="AR216" s="21"/>
    </row>
    <row r="217" spans="1:44">
      <c r="A217" s="880" t="s">
        <v>991</v>
      </c>
      <c r="B217" s="1273" t="s">
        <v>1041</v>
      </c>
      <c r="C217" s="1273"/>
      <c r="D217" s="1273"/>
      <c r="E217" s="1273"/>
      <c r="F217" s="1273"/>
      <c r="G217" s="1097">
        <f ca="1">(G209*1000/G75)/G215</f>
        <v>601.08171131635345</v>
      </c>
      <c r="H217" s="1097">
        <f t="shared" ref="H217:M217" ca="1" si="112">(H209*1000/H75)/H215</f>
        <v>601.08171131635345</v>
      </c>
      <c r="I217" s="1097">
        <f t="shared" ca="1" si="112"/>
        <v>601.08171131635345</v>
      </c>
      <c r="J217" s="1097">
        <f t="shared" ca="1" si="112"/>
        <v>601.08171131635345</v>
      </c>
      <c r="K217" s="1097">
        <f t="shared" ca="1" si="112"/>
        <v>601.08171131635345</v>
      </c>
      <c r="L217" s="1097">
        <f t="shared" ca="1" si="112"/>
        <v>601.08171131635345</v>
      </c>
      <c r="M217" s="1097">
        <f t="shared" ca="1" si="112"/>
        <v>601.08171131635345</v>
      </c>
      <c r="N217" s="162" t="s">
        <v>1561</v>
      </c>
      <c r="O217" s="407"/>
      <c r="P217" s="234"/>
      <c r="Q217" s="234"/>
      <c r="R217" s="234"/>
      <c r="S217" s="234"/>
      <c r="T217" s="21"/>
      <c r="U217" s="407"/>
      <c r="V217" s="234"/>
      <c r="W217" s="234"/>
      <c r="X217" s="234"/>
      <c r="Y217" s="234"/>
      <c r="Z217" s="21"/>
      <c r="AA217" s="407"/>
      <c r="AB217" s="234"/>
      <c r="AC217" s="234"/>
      <c r="AD217" s="234"/>
      <c r="AE217" s="234"/>
      <c r="AF217" s="234"/>
      <c r="AG217" s="234"/>
      <c r="AH217" s="234"/>
      <c r="AI217" s="234"/>
      <c r="AJ217" s="234"/>
      <c r="AK217" s="17"/>
      <c r="AL217" s="234"/>
      <c r="AM217" s="234"/>
      <c r="AN217" s="234"/>
      <c r="AO217" s="21"/>
      <c r="AP217" s="21"/>
      <c r="AQ217" s="21"/>
      <c r="AR217" s="21"/>
    </row>
    <row r="218" spans="1:44">
      <c r="A218" s="880" t="s">
        <v>991</v>
      </c>
      <c r="B218" s="1274" t="s">
        <v>1034</v>
      </c>
      <c r="C218" s="1274"/>
      <c r="D218" s="1274"/>
      <c r="E218" s="1274"/>
      <c r="F218" s="1274"/>
      <c r="G218" s="1097">
        <f ca="1">G209*1000/G212</f>
        <v>183.5565537325032</v>
      </c>
      <c r="H218" s="1097">
        <f t="shared" ref="H218:M218" ca="1" si="113">H209*1000/H212</f>
        <v>183.5565537325032</v>
      </c>
      <c r="I218" s="1097">
        <f t="shared" ca="1" si="113"/>
        <v>183.5565537325032</v>
      </c>
      <c r="J218" s="1097">
        <f t="shared" ca="1" si="113"/>
        <v>183.5565537325032</v>
      </c>
      <c r="K218" s="1097">
        <f t="shared" ca="1" si="113"/>
        <v>183.5565537325032</v>
      </c>
      <c r="L218" s="1097">
        <f t="shared" ca="1" si="113"/>
        <v>183.5565537325032</v>
      </c>
      <c r="M218" s="1097">
        <f t="shared" ca="1" si="113"/>
        <v>183.5565537325032</v>
      </c>
      <c r="N218" s="98"/>
      <c r="O218" s="407"/>
      <c r="P218" s="234"/>
      <c r="Q218" s="234"/>
      <c r="R218" s="234"/>
      <c r="S218" s="234"/>
      <c r="T218" s="234"/>
      <c r="U218" s="407"/>
      <c r="V218" s="234"/>
      <c r="W218" s="234"/>
      <c r="X218" s="234"/>
      <c r="Y218" s="234"/>
      <c r="Z218" s="234"/>
      <c r="AA218" s="407"/>
      <c r="AB218" s="234"/>
      <c r="AC218" s="234"/>
      <c r="AD218" s="234"/>
      <c r="AE218" s="234"/>
      <c r="AF218" s="21"/>
      <c r="AG218" s="21"/>
      <c r="AH218" s="21"/>
      <c r="AI218" s="21"/>
      <c r="AJ218" s="21"/>
      <c r="AK218" s="17"/>
      <c r="AL218" s="21"/>
      <c r="AM218" s="21"/>
      <c r="AN218" s="21"/>
      <c r="AO218" s="21"/>
      <c r="AP218" s="21"/>
      <c r="AQ218" s="21"/>
      <c r="AR218" s="21"/>
    </row>
    <row r="219" spans="1:44">
      <c r="A219" s="880" t="s">
        <v>991</v>
      </c>
      <c r="B219" s="1274" t="s">
        <v>1036</v>
      </c>
      <c r="C219" s="1274"/>
      <c r="D219" s="1274"/>
      <c r="E219" s="1274"/>
      <c r="F219" s="1274"/>
      <c r="G219" s="1097">
        <f ca="1">G209*1000/G214</f>
        <v>344.04114068807081</v>
      </c>
      <c r="H219" s="1097">
        <f t="shared" ref="H219:M219" ca="1" si="114">H209*1000/H214</f>
        <v>344.04114068807081</v>
      </c>
      <c r="I219" s="1097">
        <f t="shared" ca="1" si="114"/>
        <v>344.04114068807081</v>
      </c>
      <c r="J219" s="1097">
        <f t="shared" ca="1" si="114"/>
        <v>344.04114068807081</v>
      </c>
      <c r="K219" s="1097">
        <f t="shared" ca="1" si="114"/>
        <v>344.04114068807081</v>
      </c>
      <c r="L219" s="1097">
        <f t="shared" ca="1" si="114"/>
        <v>344.04114068807081</v>
      </c>
      <c r="M219" s="1097">
        <f t="shared" ca="1" si="114"/>
        <v>344.04114068807081</v>
      </c>
      <c r="N219" s="98"/>
      <c r="O219" s="407"/>
      <c r="P219" s="286"/>
      <c r="Q219" s="286"/>
      <c r="R219" s="286"/>
      <c r="S219" s="286"/>
      <c r="T219" s="21"/>
      <c r="U219" s="407"/>
      <c r="V219" s="286"/>
      <c r="W219" s="286"/>
      <c r="X219" s="286"/>
      <c r="Y219" s="286"/>
      <c r="Z219" s="21"/>
      <c r="AA219" s="407"/>
      <c r="AB219" s="286"/>
      <c r="AC219" s="286"/>
      <c r="AD219" s="286"/>
      <c r="AE219" s="286"/>
      <c r="AF219" s="21"/>
      <c r="AG219" s="21"/>
      <c r="AH219" s="21"/>
      <c r="AI219" s="21"/>
      <c r="AJ219" s="21"/>
      <c r="AK219" s="17"/>
      <c r="AL219" s="21"/>
      <c r="AM219" s="21"/>
      <c r="AN219" s="21"/>
      <c r="AO219" s="21"/>
      <c r="AP219" s="21"/>
      <c r="AQ219" s="21"/>
      <c r="AR219" s="21"/>
    </row>
    <row r="220" spans="1:44">
      <c r="A220" s="880" t="s">
        <v>991</v>
      </c>
      <c r="B220" s="1274" t="s">
        <v>1139</v>
      </c>
      <c r="C220" s="1274"/>
      <c r="D220" s="1274"/>
      <c r="E220" s="1274"/>
      <c r="F220" s="1274"/>
      <c r="G220" s="1098">
        <f t="shared" ref="G220" ca="1" si="115">G222/G209</f>
        <v>269.4419319562989</v>
      </c>
      <c r="H220" s="1098">
        <f t="shared" ref="H220:M220" ca="1" si="116">H222/H209</f>
        <v>184.22624047093748</v>
      </c>
      <c r="I220" s="1098">
        <f t="shared" ca="1" si="116"/>
        <v>178.2480455080366</v>
      </c>
      <c r="J220" s="1098">
        <f t="shared" ca="1" si="116"/>
        <v>174.46415734650452</v>
      </c>
      <c r="K220" s="1098">
        <f t="shared" ca="1" si="116"/>
        <v>171.76087098513719</v>
      </c>
      <c r="L220" s="1098">
        <f t="shared" ca="1" si="116"/>
        <v>167.30918831208749</v>
      </c>
      <c r="M220" s="1098">
        <f t="shared" ca="1" si="116"/>
        <v>164.4711707280737</v>
      </c>
      <c r="N220" s="98"/>
      <c r="O220" s="407"/>
      <c r="P220" s="21"/>
      <c r="Q220" s="21"/>
      <c r="R220" s="21"/>
      <c r="S220" s="21"/>
      <c r="T220" s="21"/>
      <c r="U220" s="407"/>
      <c r="V220" s="21"/>
      <c r="W220" s="21"/>
      <c r="X220" s="21"/>
      <c r="Y220" s="21"/>
      <c r="Z220" s="21"/>
      <c r="AA220" s="407"/>
      <c r="AB220" s="1099"/>
      <c r="AC220" s="1099"/>
      <c r="AD220" s="1099"/>
      <c r="AE220" s="1099"/>
      <c r="AF220" s="21"/>
      <c r="AG220" s="21"/>
      <c r="AH220" s="21"/>
      <c r="AI220" s="21"/>
      <c r="AJ220" s="21"/>
      <c r="AK220" s="17"/>
      <c r="AL220" s="21"/>
      <c r="AM220" s="21"/>
      <c r="AN220" s="21"/>
      <c r="AO220" s="21"/>
      <c r="AP220" s="21"/>
      <c r="AQ220" s="21"/>
      <c r="AR220" s="21"/>
    </row>
    <row r="221" spans="1:44" ht="15">
      <c r="A221" s="880" t="s">
        <v>991</v>
      </c>
      <c r="B221" s="1274" t="s">
        <v>1140</v>
      </c>
      <c r="C221" s="1274"/>
      <c r="D221" s="1274"/>
      <c r="E221" s="1274"/>
      <c r="F221" s="1274"/>
      <c r="G221" s="1098">
        <f ca="1">G220/(G192/100)</f>
        <v>316.99050818388105</v>
      </c>
      <c r="H221" s="1098">
        <f t="shared" ref="H221:M221" ca="1" si="117">H220/(H192/100)</f>
        <v>216.73675349522057</v>
      </c>
      <c r="I221" s="1098">
        <f t="shared" ca="1" si="117"/>
        <v>209.7035829506313</v>
      </c>
      <c r="J221" s="1098">
        <f t="shared" ca="1" si="117"/>
        <v>205.25194981941709</v>
      </c>
      <c r="K221" s="1098">
        <f t="shared" ca="1" si="117"/>
        <v>202.07161292369082</v>
      </c>
      <c r="L221" s="1098">
        <f t="shared" ca="1" si="117"/>
        <v>196.83433919069117</v>
      </c>
      <c r="M221" s="1098">
        <f t="shared" ca="1" si="117"/>
        <v>193.49549497420435</v>
      </c>
      <c r="N221" s="98"/>
      <c r="O221" s="407"/>
      <c r="P221" s="21"/>
      <c r="Q221" s="21"/>
      <c r="R221" s="21"/>
      <c r="S221" s="21"/>
      <c r="T221" s="21"/>
      <c r="U221" s="407"/>
      <c r="V221" s="21"/>
      <c r="W221" s="21"/>
      <c r="X221" s="21"/>
      <c r="Y221" s="21"/>
      <c r="Z221" s="21"/>
      <c r="AA221" s="407"/>
      <c r="AB221" s="1099"/>
      <c r="AC221" s="1099"/>
      <c r="AD221" s="1099"/>
      <c r="AE221" s="1099"/>
      <c r="AF221" s="21"/>
      <c r="AG221" s="21"/>
      <c r="AH221" s="21"/>
      <c r="AI221" s="21"/>
      <c r="AJ221" s="21"/>
      <c r="AK221" s="17"/>
      <c r="AL221" s="21"/>
      <c r="AM221" s="21"/>
      <c r="AN221" s="21"/>
      <c r="AO221" s="21"/>
      <c r="AP221" s="21"/>
      <c r="AQ221" s="21"/>
      <c r="AR221" s="21"/>
    </row>
    <row r="222" spans="1:44">
      <c r="A222" s="880" t="s">
        <v>991</v>
      </c>
      <c r="B222" s="1274" t="s">
        <v>1141</v>
      </c>
      <c r="C222" s="1274"/>
      <c r="D222" s="1274"/>
      <c r="E222" s="1274"/>
      <c r="F222" s="1274"/>
      <c r="G222" s="1098">
        <f ca="1">'Summary of Results'!G102</f>
        <v>26944.193195629876</v>
      </c>
      <c r="H222" s="1098">
        <f ca="1">'Summary of Results'!H102</f>
        <v>18422.624047093741</v>
      </c>
      <c r="I222" s="1098">
        <f ca="1">'Summary of Results'!I102</f>
        <v>17824.804550803652</v>
      </c>
      <c r="J222" s="1098">
        <f ca="1">'Summary of Results'!J102</f>
        <v>17446.415734650443</v>
      </c>
      <c r="K222" s="1098">
        <f ca="1">'Summary of Results'!K102</f>
        <v>17176.087098513712</v>
      </c>
      <c r="L222" s="1098">
        <f ca="1">'Summary of Results'!L102</f>
        <v>16730.918831208743</v>
      </c>
      <c r="M222" s="1098">
        <f ca="1">'Summary of Results'!M102</f>
        <v>16447.117072807363</v>
      </c>
      <c r="N222" s="317"/>
      <c r="O222" s="17"/>
      <c r="P222" s="311"/>
      <c r="Q222" s="311"/>
      <c r="R222" s="311"/>
      <c r="S222" s="311"/>
      <c r="T222" s="311"/>
      <c r="U222" s="311"/>
      <c r="V222" s="311"/>
      <c r="W222" s="1099"/>
      <c r="X222" s="1099"/>
      <c r="Y222" s="1099"/>
      <c r="Z222" s="234"/>
      <c r="AA222" s="407"/>
      <c r="AB222" s="1099"/>
      <c r="AC222" s="1099"/>
      <c r="AD222" s="1099"/>
      <c r="AE222" s="1099"/>
      <c r="AF222" s="21"/>
      <c r="AG222" s="21"/>
      <c r="AH222" s="21"/>
      <c r="AI222" s="21"/>
      <c r="AJ222" s="21"/>
      <c r="AK222" s="17"/>
      <c r="AL222" s="21"/>
      <c r="AM222" s="21"/>
      <c r="AN222" s="21"/>
    </row>
    <row r="223" spans="1:44">
      <c r="A223" s="880" t="s">
        <v>991</v>
      </c>
      <c r="B223" s="1275" t="s">
        <v>1142</v>
      </c>
      <c r="C223" s="1275"/>
      <c r="D223" s="1275"/>
      <c r="E223" s="1275"/>
      <c r="F223" s="1275"/>
      <c r="G223" s="847">
        <f ca="1">'Prices of Cells and Modules'!G117/G74</f>
        <v>57.217331825581958</v>
      </c>
      <c r="H223" s="847">
        <f ca="1">'Prices of Cells and Modules'!H117/H74</f>
        <v>39.228921750683256</v>
      </c>
      <c r="I223" s="847">
        <f ca="1">'Prices of Cells and Modules'!I117/I74</f>
        <v>37.962847503885172</v>
      </c>
      <c r="J223" s="847">
        <f ca="1">'Prices of Cells and Modules'!J117/J74</f>
        <v>37.161041038925816</v>
      </c>
      <c r="K223" s="847">
        <f ca="1">'Prices of Cells and Modules'!K117/K74</f>
        <v>36.587996785520943</v>
      </c>
      <c r="L223" s="847">
        <f ca="1">'Prices of Cells and Modules'!L117/L74</f>
        <v>35.643932994595787</v>
      </c>
      <c r="M223" s="847">
        <f ca="1">'Prices of Cells and Modules'!M117/M74</f>
        <v>35.041830572156826</v>
      </c>
      <c r="N223" s="239"/>
      <c r="O223" s="245"/>
      <c r="P223" s="239"/>
      <c r="Q223" s="239"/>
      <c r="R223" s="239"/>
      <c r="S223" s="239"/>
      <c r="T223" s="239"/>
      <c r="U223" s="407"/>
      <c r="V223" s="1099"/>
      <c r="W223" s="1099"/>
      <c r="X223" s="1099"/>
      <c r="Y223" s="1099"/>
      <c r="Z223" s="17"/>
      <c r="AA223" s="407"/>
      <c r="AB223" s="1099"/>
      <c r="AC223" s="1099"/>
      <c r="AD223" s="1099"/>
      <c r="AE223" s="1099"/>
      <c r="AF223" s="17"/>
    </row>
    <row r="224" spans="1:44">
      <c r="A224" s="880" t="s">
        <v>991</v>
      </c>
      <c r="B224" s="1275" t="s">
        <v>1143</v>
      </c>
      <c r="C224" s="1275"/>
      <c r="D224" s="1275"/>
      <c r="E224" s="1275"/>
      <c r="F224" s="1275"/>
      <c r="G224" s="848">
        <f ca="1">'Prices of Cells and Modules'!G117/G209</f>
        <v>228.86932730232795</v>
      </c>
      <c r="H224" s="848">
        <f ca="1">'Prices of Cells and Modules'!H117/H209</f>
        <v>156.91568700273311</v>
      </c>
      <c r="I224" s="848">
        <f ca="1">'Prices of Cells and Modules'!I117/I209</f>
        <v>151.85139001554074</v>
      </c>
      <c r="J224" s="848">
        <f ca="1">'Prices of Cells and Modules'!J117/J209</f>
        <v>148.64416415570335</v>
      </c>
      <c r="K224" s="848">
        <f ca="1">'Prices of Cells and Modules'!K117/K209</f>
        <v>146.35198714208383</v>
      </c>
      <c r="L224" s="848">
        <f ca="1">'Prices of Cells and Modules'!L117/L209</f>
        <v>142.5757319783832</v>
      </c>
      <c r="M224" s="848">
        <f ca="1">'Prices of Cells and Modules'!M117/M209</f>
        <v>140.16732228862736</v>
      </c>
      <c r="N224" s="98"/>
      <c r="O224" s="245"/>
      <c r="P224" s="239"/>
      <c r="Q224" s="239"/>
      <c r="R224" s="239"/>
      <c r="S224" s="239"/>
      <c r="T224" s="239"/>
      <c r="U224" s="407"/>
      <c r="V224" s="1099"/>
      <c r="W224" s="1099"/>
      <c r="X224" s="1099"/>
      <c r="Y224" s="1099"/>
      <c r="Z224" s="17"/>
      <c r="AA224" s="407"/>
      <c r="AB224" s="1099"/>
      <c r="AC224" s="1099"/>
      <c r="AD224" s="1099"/>
      <c r="AE224" s="1099"/>
      <c r="AF224" s="17"/>
    </row>
    <row r="225" spans="1:32" ht="15">
      <c r="A225" s="880" t="s">
        <v>991</v>
      </c>
      <c r="B225" s="1275" t="s">
        <v>1144</v>
      </c>
      <c r="C225" s="1275"/>
      <c r="D225" s="1275"/>
      <c r="E225" s="1275"/>
      <c r="F225" s="1275"/>
      <c r="G225" s="848">
        <f t="shared" ref="G225" ca="1" si="118">G224/(G192/100)</f>
        <v>269.25803212038585</v>
      </c>
      <c r="H225" s="848">
        <f t="shared" ref="H225:M225" ca="1" si="119">H224/(H192/100)</f>
        <v>184.60669059145073</v>
      </c>
      <c r="I225" s="848">
        <f t="shared" ca="1" si="119"/>
        <v>178.6486941359303</v>
      </c>
      <c r="J225" s="848">
        <f t="shared" ca="1" si="119"/>
        <v>174.87548724200394</v>
      </c>
      <c r="K225" s="848">
        <f t="shared" ca="1" si="119"/>
        <v>172.17880840245158</v>
      </c>
      <c r="L225" s="848">
        <f t="shared" ca="1" si="119"/>
        <v>167.73615526868613</v>
      </c>
      <c r="M225" s="848">
        <f t="shared" ca="1" si="119"/>
        <v>164.9027321042675</v>
      </c>
      <c r="N225" s="239"/>
      <c r="O225" s="98"/>
      <c r="P225" s="17"/>
      <c r="Q225" s="17"/>
      <c r="R225" s="21"/>
      <c r="S225" s="21"/>
      <c r="T225" s="21"/>
      <c r="U225" s="21"/>
      <c r="V225" s="21"/>
      <c r="W225" s="21"/>
      <c r="X225" s="21"/>
      <c r="Y225" s="17"/>
      <c r="Z225" s="17"/>
      <c r="AA225" s="17"/>
      <c r="AB225" s="17"/>
      <c r="AC225" s="17"/>
      <c r="AD225" s="17"/>
      <c r="AE225" s="17"/>
      <c r="AF225" s="17"/>
    </row>
    <row r="226" spans="1:32">
      <c r="A226" s="880" t="s">
        <v>991</v>
      </c>
      <c r="B226" s="1273" t="s">
        <v>1145</v>
      </c>
      <c r="C226" s="1273"/>
      <c r="D226" s="1273"/>
      <c r="E226" s="1273"/>
      <c r="F226" s="1273"/>
      <c r="G226" s="1071">
        <f ca="1">G220/G224</f>
        <v>1.1772741027913105</v>
      </c>
      <c r="H226" s="1071">
        <f t="shared" ref="H226:M226" ca="1" si="120">H220/H224</f>
        <v>1.1740460370143151</v>
      </c>
      <c r="I226" s="1071">
        <f t="shared" ca="1" si="120"/>
        <v>1.1738321624174424</v>
      </c>
      <c r="J226" s="1071">
        <f t="shared" ca="1" si="120"/>
        <v>1.1737033763650147</v>
      </c>
      <c r="K226" s="1071">
        <f t="shared" ca="1" si="120"/>
        <v>1.1736148879098272</v>
      </c>
      <c r="L226" s="1071">
        <f t="shared" ca="1" si="120"/>
        <v>1.1734759204143821</v>
      </c>
      <c r="M226" s="1071">
        <f t="shared" ca="1" si="120"/>
        <v>1.173391686754212</v>
      </c>
      <c r="N226" s="98"/>
      <c r="O226" s="98"/>
      <c r="P226" s="17"/>
      <c r="Q226" s="17"/>
      <c r="R226" s="17"/>
      <c r="S226" s="17"/>
      <c r="T226" s="17"/>
      <c r="U226" s="17"/>
      <c r="V226" s="17"/>
      <c r="W226" s="17"/>
      <c r="X226" s="17"/>
      <c r="Y226" s="17"/>
      <c r="Z226" s="17"/>
      <c r="AA226" s="17"/>
      <c r="AB226" s="17"/>
      <c r="AC226" s="17"/>
      <c r="AD226" s="17"/>
      <c r="AE226" s="17"/>
      <c r="AF226" s="17"/>
    </row>
    <row r="227" spans="1:32">
      <c r="D227" s="17"/>
      <c r="E227" s="407"/>
      <c r="G227" s="162"/>
      <c r="H227" s="162"/>
      <c r="I227" s="162"/>
      <c r="J227" s="162"/>
      <c r="K227" s="162"/>
      <c r="L227" s="162"/>
      <c r="M227" s="162"/>
      <c r="N227" s="98"/>
      <c r="O227" s="98"/>
      <c r="P227" s="17"/>
      <c r="Q227" s="17"/>
      <c r="R227" s="17"/>
      <c r="S227" s="17"/>
      <c r="T227" s="17"/>
      <c r="U227" s="17"/>
      <c r="V227" s="17"/>
      <c r="W227" s="17"/>
      <c r="X227" s="17"/>
      <c r="Y227" s="17"/>
      <c r="Z227" s="17"/>
      <c r="AA227" s="17"/>
      <c r="AB227" s="17"/>
      <c r="AC227" s="17"/>
      <c r="AD227" s="17"/>
      <c r="AE227" s="17"/>
      <c r="AF227" s="17"/>
    </row>
    <row r="228" spans="1:32">
      <c r="D228" s="17"/>
      <c r="E228" s="407"/>
      <c r="F228" s="363"/>
      <c r="G228" s="185"/>
      <c r="H228" s="185"/>
      <c r="I228" s="185"/>
      <c r="J228" s="185"/>
      <c r="K228" s="185"/>
      <c r="L228" s="185"/>
      <c r="M228" s="185"/>
      <c r="N228" s="98"/>
      <c r="O228" s="98"/>
      <c r="P228" s="17"/>
      <c r="Q228" s="17"/>
      <c r="R228" s="17"/>
      <c r="S228" s="17"/>
      <c r="T228" s="17"/>
      <c r="U228" s="17"/>
      <c r="V228" s="17"/>
      <c r="W228" s="17"/>
      <c r="X228" s="17"/>
      <c r="Y228" s="17"/>
      <c r="Z228" s="17"/>
      <c r="AA228" s="17"/>
      <c r="AB228" s="17"/>
      <c r="AC228" s="17"/>
      <c r="AD228" s="17"/>
      <c r="AE228" s="17"/>
      <c r="AF228" s="17"/>
    </row>
    <row r="229" spans="1:32">
      <c r="D229" s="17"/>
      <c r="E229" s="407"/>
      <c r="F229" s="363"/>
      <c r="G229" s="185"/>
      <c r="H229" s="185"/>
      <c r="I229" s="185"/>
      <c r="J229" s="185"/>
      <c r="K229" s="185"/>
      <c r="L229" s="185"/>
      <c r="M229" s="185"/>
      <c r="N229" s="98"/>
      <c r="O229" s="98"/>
      <c r="P229" s="17"/>
      <c r="Q229" s="17"/>
      <c r="R229" s="17"/>
      <c r="S229" s="17"/>
      <c r="T229" s="17"/>
      <c r="U229" s="17"/>
      <c r="V229" s="17"/>
      <c r="W229" s="17"/>
      <c r="X229" s="17"/>
      <c r="Y229" s="17"/>
      <c r="Z229" s="17"/>
      <c r="AA229" s="17"/>
      <c r="AB229" s="17"/>
      <c r="AC229" s="17"/>
      <c r="AD229" s="17"/>
      <c r="AE229" s="17"/>
      <c r="AF229" s="17"/>
    </row>
    <row r="230" spans="1:32">
      <c r="D230" s="17"/>
      <c r="E230" s="407"/>
      <c r="F230" s="363"/>
      <c r="G230" s="185"/>
      <c r="H230" s="185"/>
      <c r="I230" s="185"/>
      <c r="J230" s="185"/>
      <c r="K230" s="185"/>
      <c r="L230" s="185"/>
      <c r="M230" s="185"/>
      <c r="N230" s="96"/>
      <c r="O230" s="96"/>
      <c r="P230" s="17"/>
      <c r="Q230" s="17"/>
      <c r="R230" s="17"/>
      <c r="S230" s="17"/>
      <c r="T230" s="17"/>
      <c r="U230" s="17"/>
      <c r="V230" s="17"/>
      <c r="W230" s="17"/>
    </row>
    <row r="231" spans="1:32">
      <c r="D231" s="17"/>
      <c r="E231" s="407"/>
      <c r="F231" s="363"/>
      <c r="G231" s="162"/>
      <c r="H231" s="162"/>
      <c r="I231" s="162"/>
      <c r="J231" s="162"/>
      <c r="K231" s="162"/>
      <c r="L231" s="162"/>
      <c r="M231" s="162"/>
      <c r="N231" s="96"/>
      <c r="O231" s="96"/>
      <c r="P231" s="17"/>
      <c r="Q231" s="17"/>
      <c r="R231" s="17"/>
      <c r="S231" s="17"/>
      <c r="T231" s="17"/>
      <c r="U231" s="17"/>
      <c r="V231" s="17"/>
      <c r="W231" s="17"/>
    </row>
    <row r="232" spans="1:32">
      <c r="D232" s="17"/>
      <c r="E232" s="407"/>
      <c r="F232" s="363"/>
      <c r="G232" s="185"/>
      <c r="H232" s="185"/>
      <c r="I232" s="185"/>
      <c r="J232" s="185"/>
      <c r="K232" s="185"/>
      <c r="L232" s="185"/>
      <c r="M232" s="185"/>
      <c r="N232" s="96"/>
      <c r="O232" s="96"/>
      <c r="P232" s="17"/>
      <c r="Q232" s="17"/>
      <c r="R232" s="17"/>
      <c r="S232" s="17"/>
      <c r="T232" s="17"/>
      <c r="U232" s="17"/>
      <c r="V232" s="17"/>
      <c r="W232" s="17"/>
    </row>
    <row r="233" spans="1:32">
      <c r="D233" s="17"/>
      <c r="E233" s="407"/>
      <c r="F233" s="363"/>
      <c r="G233" s="162"/>
      <c r="H233" s="162"/>
      <c r="I233" s="162"/>
      <c r="J233" s="162"/>
      <c r="K233" s="162"/>
      <c r="L233" s="162"/>
      <c r="M233" s="162"/>
      <c r="N233" s="96"/>
      <c r="O233" s="96"/>
      <c r="P233" s="17"/>
      <c r="Q233" s="17"/>
      <c r="R233" s="17"/>
      <c r="S233" s="17"/>
      <c r="T233" s="17"/>
      <c r="U233" s="17"/>
      <c r="V233" s="17"/>
      <c r="W233" s="17"/>
    </row>
    <row r="234" spans="1:32">
      <c r="D234" s="17"/>
      <c r="E234" s="407"/>
      <c r="F234" s="363"/>
      <c r="G234" s="185"/>
      <c r="H234" s="185"/>
      <c r="I234" s="185"/>
      <c r="J234" s="185"/>
      <c r="K234" s="185"/>
      <c r="L234" s="185"/>
      <c r="M234" s="185"/>
      <c r="N234" s="96"/>
      <c r="O234" s="96"/>
      <c r="P234" s="17"/>
      <c r="Q234" s="17"/>
      <c r="R234" s="17"/>
      <c r="S234" s="17"/>
      <c r="T234" s="17"/>
      <c r="U234" s="17"/>
      <c r="V234" s="17"/>
      <c r="W234" s="17"/>
    </row>
    <row r="235" spans="1:32">
      <c r="D235" s="17"/>
      <c r="E235" s="407"/>
      <c r="F235" s="363"/>
      <c r="G235" s="165"/>
      <c r="H235" s="165"/>
      <c r="I235" s="165"/>
      <c r="J235" s="165"/>
      <c r="K235" s="165"/>
      <c r="L235" s="165"/>
      <c r="M235" s="165"/>
      <c r="N235" s="96"/>
      <c r="O235" s="96"/>
      <c r="P235" s="17"/>
      <c r="Q235" s="17"/>
      <c r="R235" s="17"/>
      <c r="S235" s="17"/>
      <c r="T235" s="17"/>
      <c r="U235" s="17"/>
      <c r="V235" s="17"/>
      <c r="W235" s="17"/>
    </row>
    <row r="236" spans="1:32">
      <c r="D236" s="17"/>
      <c r="E236" s="407"/>
      <c r="F236" s="363"/>
      <c r="G236" s="165"/>
      <c r="H236" s="165"/>
      <c r="I236" s="165"/>
      <c r="J236" s="165"/>
      <c r="K236" s="165"/>
      <c r="L236" s="165"/>
      <c r="M236" s="165"/>
      <c r="N236" s="239"/>
      <c r="O236" s="239"/>
      <c r="P236" s="363"/>
      <c r="Q236" s="1100"/>
      <c r="R236" s="1100"/>
      <c r="S236" s="1100"/>
      <c r="T236" s="1100"/>
      <c r="U236" s="1100"/>
      <c r="V236" s="1100"/>
      <c r="W236" s="1100"/>
    </row>
    <row r="237" spans="1:32">
      <c r="D237" s="17"/>
      <c r="E237" s="407"/>
      <c r="F237" s="363"/>
      <c r="G237" s="1101"/>
      <c r="H237" s="1101"/>
      <c r="I237" s="1101"/>
      <c r="J237" s="1101"/>
      <c r="K237" s="1101"/>
      <c r="L237" s="1101"/>
      <c r="M237" s="1101"/>
      <c r="N237" s="239"/>
      <c r="O237" s="239"/>
      <c r="P237" s="363"/>
      <c r="Q237" s="1100"/>
      <c r="R237" s="1100"/>
      <c r="S237" s="1100"/>
      <c r="T237" s="1100"/>
      <c r="U237" s="1100"/>
      <c r="V237" s="1100"/>
      <c r="W237" s="1100"/>
    </row>
    <row r="238" spans="1:32">
      <c r="D238" s="17"/>
      <c r="E238" s="407"/>
      <c r="F238" s="363"/>
      <c r="G238" s="1101"/>
      <c r="H238" s="1101"/>
      <c r="I238" s="1101"/>
      <c r="J238" s="1101"/>
      <c r="K238" s="1101"/>
      <c r="L238" s="1101"/>
      <c r="M238" s="1101"/>
      <c r="N238" s="363"/>
      <c r="O238" s="98"/>
      <c r="P238" s="363"/>
      <c r="Q238" s="1100"/>
      <c r="R238" s="1100"/>
      <c r="S238" s="1100"/>
      <c r="T238" s="1100"/>
      <c r="U238" s="1100"/>
      <c r="V238" s="1100"/>
      <c r="W238" s="1100"/>
    </row>
    <row r="239" spans="1:32">
      <c r="D239" s="17"/>
      <c r="E239" s="407"/>
      <c r="F239" s="363"/>
      <c r="G239" s="1102"/>
      <c r="H239" s="1102"/>
      <c r="I239" s="1102"/>
      <c r="J239" s="1102"/>
      <c r="K239" s="1102"/>
      <c r="L239" s="1102"/>
      <c r="M239" s="1102"/>
      <c r="N239" s="363"/>
      <c r="O239" s="98"/>
      <c r="P239" s="363"/>
      <c r="Q239" s="1100"/>
      <c r="R239" s="1100"/>
      <c r="S239" s="1100"/>
      <c r="T239" s="1100"/>
      <c r="U239" s="1100"/>
      <c r="V239" s="1100"/>
      <c r="W239" s="1100"/>
    </row>
    <row r="240" spans="1:32">
      <c r="D240" s="17"/>
      <c r="E240" s="407"/>
      <c r="F240" s="363"/>
      <c r="G240" s="759"/>
      <c r="H240" s="759"/>
      <c r="I240" s="759"/>
      <c r="J240" s="759"/>
      <c r="K240" s="759"/>
      <c r="L240" s="759"/>
      <c r="M240" s="759"/>
      <c r="N240" s="363"/>
      <c r="O240" s="98"/>
      <c r="P240" s="363"/>
      <c r="Q240" s="1100"/>
      <c r="R240" s="1100"/>
      <c r="S240" s="1100"/>
      <c r="T240" s="1100"/>
      <c r="U240" s="1100"/>
      <c r="V240" s="1100"/>
      <c r="W240" s="1100"/>
    </row>
    <row r="241" spans="4:24">
      <c r="D241" s="17"/>
      <c r="E241" s="407"/>
      <c r="F241" s="363"/>
      <c r="G241" s="760"/>
      <c r="H241" s="760"/>
      <c r="I241" s="760"/>
      <c r="J241" s="760"/>
      <c r="K241" s="760"/>
      <c r="L241" s="760"/>
      <c r="M241" s="760"/>
      <c r="N241" s="363"/>
      <c r="O241" s="98"/>
      <c r="P241" s="363"/>
      <c r="Q241" s="1100"/>
      <c r="R241" s="1100"/>
      <c r="S241" s="1100"/>
      <c r="T241" s="1100"/>
      <c r="U241" s="1100"/>
      <c r="V241" s="1100"/>
      <c r="W241" s="1100"/>
    </row>
    <row r="242" spans="4:24">
      <c r="D242" s="17"/>
      <c r="E242" s="407"/>
      <c r="F242" s="363"/>
      <c r="G242" s="760"/>
      <c r="H242" s="760"/>
      <c r="I242" s="760"/>
      <c r="J242" s="760"/>
      <c r="K242" s="760"/>
      <c r="L242" s="760"/>
      <c r="M242" s="760"/>
      <c r="N242" s="363"/>
      <c r="O242" s="98"/>
      <c r="P242" s="363"/>
      <c r="Q242" s="1100"/>
      <c r="R242" s="1100"/>
      <c r="S242" s="1100"/>
      <c r="T242" s="1100"/>
      <c r="U242" s="1100"/>
      <c r="V242" s="1100"/>
      <c r="W242" s="1100"/>
    </row>
    <row r="243" spans="4:24">
      <c r="D243" s="17"/>
      <c r="E243" s="407"/>
      <c r="F243" s="363"/>
      <c r="G243" s="25"/>
      <c r="H243" s="25"/>
      <c r="I243" s="25"/>
      <c r="J243" s="25"/>
      <c r="K243" s="25"/>
      <c r="L243" s="25"/>
      <c r="M243" s="25"/>
      <c r="N243" s="363"/>
      <c r="O243" s="98"/>
      <c r="P243" s="363"/>
      <c r="Q243" s="1100"/>
      <c r="R243" s="1100"/>
      <c r="S243" s="1100"/>
      <c r="T243" s="1100"/>
      <c r="U243" s="1100"/>
      <c r="V243" s="1100"/>
      <c r="W243" s="1100"/>
    </row>
    <row r="244" spans="4:24">
      <c r="D244" s="17"/>
      <c r="E244" s="407"/>
      <c r="F244" s="363"/>
      <c r="G244" s="234"/>
      <c r="H244" s="234"/>
      <c r="I244" s="234"/>
      <c r="J244" s="234"/>
      <c r="K244" s="234"/>
      <c r="L244" s="234"/>
      <c r="M244" s="234"/>
      <c r="N244" s="363"/>
      <c r="O244" s="98"/>
      <c r="P244" s="363"/>
      <c r="Q244" s="1100"/>
      <c r="R244" s="1100"/>
      <c r="S244" s="1100"/>
      <c r="T244" s="1100"/>
      <c r="U244" s="1100"/>
      <c r="V244" s="1100"/>
      <c r="W244" s="1100"/>
    </row>
    <row r="245" spans="4:24">
      <c r="D245" s="17"/>
      <c r="E245" s="407"/>
      <c r="F245" s="363"/>
      <c r="G245" s="234"/>
      <c r="H245" s="234"/>
      <c r="I245" s="234"/>
      <c r="J245" s="234"/>
      <c r="K245" s="234"/>
      <c r="L245" s="234"/>
      <c r="M245" s="234"/>
      <c r="N245" s="363"/>
      <c r="O245" s="98"/>
      <c r="P245" s="363"/>
      <c r="Q245" s="1100"/>
      <c r="R245" s="1100"/>
      <c r="S245" s="1100"/>
      <c r="T245" s="1100"/>
      <c r="U245" s="1100"/>
      <c r="V245" s="1100"/>
      <c r="W245" s="1100"/>
    </row>
    <row r="246" spans="4:24">
      <c r="D246" s="17"/>
      <c r="E246" s="407"/>
      <c r="F246" s="363"/>
      <c r="G246" s="1103"/>
      <c r="H246" s="1103"/>
      <c r="I246" s="1103"/>
      <c r="J246" s="1103"/>
      <c r="K246" s="1103"/>
      <c r="L246" s="1103"/>
      <c r="M246" s="1103"/>
      <c r="N246" s="363"/>
      <c r="O246" s="98"/>
      <c r="P246" s="363"/>
      <c r="Q246" s="1100"/>
      <c r="R246" s="1100"/>
      <c r="S246" s="1100"/>
      <c r="T246" s="1100"/>
      <c r="U246" s="1100"/>
      <c r="V246" s="1100"/>
      <c r="W246" s="1100"/>
    </row>
    <row r="247" spans="4:24">
      <c r="D247" s="17"/>
      <c r="E247" s="407"/>
      <c r="F247" s="363"/>
      <c r="G247" s="98"/>
      <c r="H247" s="98"/>
      <c r="I247" s="98"/>
      <c r="J247" s="98"/>
      <c r="K247" s="98"/>
      <c r="L247" s="98"/>
      <c r="M247" s="98"/>
      <c r="N247" s="363"/>
      <c r="O247" s="98"/>
      <c r="P247" s="363"/>
      <c r="Q247" s="98"/>
      <c r="R247" s="98"/>
      <c r="S247" s="98"/>
      <c r="T247" s="98"/>
      <c r="U247" s="98"/>
      <c r="V247" s="17"/>
      <c r="W247" s="17"/>
    </row>
    <row r="248" spans="4:24">
      <c r="D248" s="17"/>
      <c r="E248" s="407"/>
      <c r="F248" s="363"/>
      <c r="G248" s="234"/>
      <c r="H248" s="234"/>
      <c r="I248" s="234"/>
      <c r="J248" s="234"/>
      <c r="K248" s="234"/>
      <c r="L248" s="234"/>
      <c r="M248" s="234"/>
      <c r="N248" s="407"/>
      <c r="O248" s="98"/>
      <c r="P248" s="363"/>
      <c r="Q248" s="1100"/>
      <c r="R248" s="1100"/>
      <c r="S248" s="1100"/>
      <c r="T248" s="1100"/>
      <c r="U248" s="1100"/>
      <c r="V248" s="1100"/>
      <c r="W248" s="1100"/>
    </row>
    <row r="249" spans="4:24">
      <c r="D249" s="17"/>
      <c r="E249" s="407"/>
      <c r="F249" s="363"/>
      <c r="G249" s="234"/>
      <c r="H249" s="234"/>
      <c r="I249" s="234"/>
      <c r="J249" s="234"/>
      <c r="K249" s="234"/>
      <c r="L249" s="234"/>
      <c r="M249" s="234"/>
      <c r="N249" s="407"/>
      <c r="O249" s="98"/>
      <c r="P249" s="363"/>
      <c r="Q249" s="1100"/>
      <c r="R249" s="1100"/>
      <c r="S249" s="1100"/>
      <c r="T249" s="1100"/>
      <c r="U249" s="1100"/>
      <c r="V249" s="1100"/>
      <c r="W249" s="1100"/>
    </row>
    <row r="250" spans="4:24">
      <c r="D250" s="17"/>
      <c r="E250" s="407"/>
      <c r="F250" s="363"/>
      <c r="G250" s="234"/>
      <c r="H250" s="234"/>
      <c r="I250" s="234"/>
      <c r="J250" s="234"/>
      <c r="K250" s="234"/>
      <c r="L250" s="234"/>
      <c r="M250" s="234"/>
      <c r="N250" s="363"/>
      <c r="O250" s="98"/>
      <c r="P250" s="363"/>
      <c r="Q250" s="1100"/>
      <c r="R250" s="1100"/>
      <c r="S250" s="1100"/>
      <c r="T250" s="1100"/>
      <c r="U250" s="1100"/>
      <c r="V250" s="1100"/>
      <c r="W250" s="1100"/>
    </row>
    <row r="251" spans="4:24">
      <c r="D251" s="17"/>
      <c r="E251" s="407"/>
      <c r="F251" s="363"/>
      <c r="G251" s="234"/>
      <c r="H251" s="234"/>
      <c r="I251" s="234"/>
      <c r="J251" s="234"/>
      <c r="K251" s="234"/>
      <c r="L251" s="234"/>
      <c r="M251" s="234"/>
      <c r="N251" s="363"/>
      <c r="O251" s="98"/>
      <c r="P251" s="363"/>
      <c r="Q251" s="1100"/>
      <c r="R251" s="1100"/>
      <c r="S251" s="1100"/>
      <c r="T251" s="1100"/>
      <c r="U251" s="1100"/>
      <c r="V251" s="1100"/>
      <c r="W251" s="1100"/>
      <c r="X251" s="880"/>
    </row>
    <row r="252" spans="4:24">
      <c r="D252" s="17"/>
      <c r="E252" s="407"/>
      <c r="F252" s="363"/>
      <c r="G252" s="1103"/>
      <c r="H252" s="1103"/>
      <c r="I252" s="1103"/>
      <c r="J252" s="1103"/>
      <c r="K252" s="1103"/>
      <c r="L252" s="1103"/>
      <c r="M252" s="1103"/>
      <c r="N252" s="363"/>
      <c r="O252" s="98"/>
      <c r="P252" s="363"/>
      <c r="Q252" s="1100"/>
      <c r="R252" s="1100"/>
      <c r="S252" s="1100"/>
      <c r="T252" s="1100"/>
      <c r="U252" s="1100"/>
      <c r="V252" s="1100"/>
      <c r="W252" s="1100"/>
      <c r="X252" s="880"/>
    </row>
    <row r="253" spans="4:24">
      <c r="D253" s="17"/>
      <c r="E253" s="407"/>
      <c r="F253" s="363"/>
      <c r="G253" s="234"/>
      <c r="H253" s="234"/>
      <c r="I253" s="234"/>
      <c r="J253" s="234"/>
      <c r="K253" s="234"/>
      <c r="L253" s="234"/>
      <c r="M253" s="234"/>
      <c r="N253" s="363"/>
      <c r="O253" s="98"/>
      <c r="P253" s="363"/>
      <c r="Q253" s="1100"/>
      <c r="R253" s="1100"/>
      <c r="S253" s="1100"/>
      <c r="T253" s="1100"/>
      <c r="U253" s="1100"/>
      <c r="V253" s="1100"/>
      <c r="W253" s="1100"/>
      <c r="X253" s="880"/>
    </row>
    <row r="254" spans="4:24">
      <c r="D254" s="17"/>
      <c r="E254" s="407"/>
      <c r="F254" s="363"/>
      <c r="G254" s="234"/>
      <c r="H254" s="234"/>
      <c r="I254" s="234"/>
      <c r="J254" s="234"/>
      <c r="K254" s="234"/>
      <c r="L254" s="234"/>
      <c r="M254" s="234"/>
      <c r="N254" s="363"/>
      <c r="O254" s="98"/>
      <c r="P254" s="363"/>
      <c r="Q254" s="1100"/>
      <c r="R254" s="1100"/>
      <c r="S254" s="1100"/>
      <c r="T254" s="1100"/>
      <c r="U254" s="1100"/>
      <c r="V254" s="1100"/>
      <c r="W254" s="1100"/>
    </row>
    <row r="255" spans="4:24">
      <c r="D255" s="17"/>
      <c r="E255" s="407"/>
      <c r="F255" s="363"/>
      <c r="G255" s="234"/>
      <c r="H255" s="234"/>
      <c r="I255" s="234"/>
      <c r="J255" s="234"/>
      <c r="K255" s="234"/>
      <c r="L255" s="234"/>
      <c r="M255" s="234"/>
      <c r="N255" s="363"/>
      <c r="O255" s="98"/>
      <c r="P255" s="363"/>
      <c r="Q255" s="1100"/>
      <c r="R255" s="1100"/>
      <c r="S255" s="1100"/>
      <c r="T255" s="1100"/>
      <c r="U255" s="1100"/>
      <c r="V255" s="1100"/>
      <c r="W255" s="1100"/>
    </row>
    <row r="256" spans="4:24">
      <c r="D256" s="17"/>
      <c r="E256" s="407"/>
      <c r="F256" s="363"/>
      <c r="G256" s="234"/>
      <c r="H256" s="234"/>
      <c r="I256" s="234"/>
      <c r="J256" s="234"/>
      <c r="K256" s="234"/>
      <c r="L256" s="234"/>
      <c r="M256" s="234"/>
      <c r="N256" s="363"/>
      <c r="O256" s="98"/>
      <c r="P256" s="363"/>
      <c r="Q256" s="1100"/>
      <c r="R256" s="1100"/>
      <c r="S256" s="1100"/>
      <c r="T256" s="1100"/>
      <c r="U256" s="1100"/>
      <c r="V256" s="1100"/>
      <c r="W256" s="1100"/>
    </row>
    <row r="257" spans="4:23">
      <c r="D257" s="17"/>
      <c r="E257" s="407"/>
      <c r="F257" s="363"/>
      <c r="G257" s="234"/>
      <c r="H257" s="234"/>
      <c r="I257" s="234"/>
      <c r="J257" s="234"/>
      <c r="K257" s="234"/>
      <c r="L257" s="234"/>
      <c r="M257" s="234"/>
      <c r="N257" s="363"/>
      <c r="O257" s="98"/>
      <c r="P257" s="363"/>
      <c r="Q257" s="1100"/>
      <c r="R257" s="1100"/>
      <c r="S257" s="1100"/>
      <c r="T257" s="1100"/>
      <c r="U257" s="1100"/>
      <c r="V257" s="1100"/>
      <c r="W257" s="1100"/>
    </row>
    <row r="258" spans="4:23">
      <c r="D258" s="17"/>
      <c r="E258" s="407"/>
      <c r="F258" s="363"/>
      <c r="G258" s="1103"/>
      <c r="H258" s="1103"/>
      <c r="I258" s="1103"/>
      <c r="J258" s="1103"/>
      <c r="K258" s="1103"/>
      <c r="L258" s="1103"/>
      <c r="M258" s="1103"/>
      <c r="N258" s="363"/>
      <c r="O258" s="98"/>
      <c r="P258" s="363"/>
      <c r="Q258" s="1100"/>
      <c r="R258" s="1100"/>
      <c r="S258" s="1100"/>
      <c r="T258" s="1100"/>
      <c r="U258" s="1100"/>
      <c r="V258" s="1100"/>
      <c r="W258" s="1100"/>
    </row>
    <row r="259" spans="4:23">
      <c r="D259" s="17"/>
      <c r="E259" s="407"/>
      <c r="F259" s="407"/>
      <c r="G259" s="375"/>
      <c r="H259" s="375"/>
      <c r="I259" s="375"/>
      <c r="J259" s="375"/>
      <c r="K259" s="375"/>
      <c r="L259" s="375"/>
      <c r="M259" s="375"/>
      <c r="N259" s="407"/>
      <c r="O259" s="98"/>
      <c r="P259" s="17"/>
      <c r="Q259" s="17"/>
      <c r="R259" s="17"/>
      <c r="S259" s="17"/>
      <c r="T259" s="17"/>
      <c r="U259" s="17"/>
      <c r="V259" s="17"/>
      <c r="W259" s="17"/>
    </row>
    <row r="260" spans="4:23">
      <c r="D260" s="17"/>
      <c r="E260" s="407"/>
      <c r="F260" s="407"/>
      <c r="G260" s="17"/>
      <c r="H260" s="17"/>
      <c r="I260" s="17"/>
      <c r="J260" s="17"/>
      <c r="K260" s="17"/>
      <c r="L260" s="17"/>
      <c r="M260" s="17"/>
      <c r="N260" s="96"/>
      <c r="O260" s="96"/>
      <c r="P260" s="17"/>
      <c r="Q260" s="17"/>
      <c r="R260" s="17"/>
      <c r="S260" s="17"/>
      <c r="T260" s="17"/>
      <c r="U260" s="17"/>
      <c r="V260" s="17"/>
      <c r="W260" s="17"/>
    </row>
    <row r="261" spans="4:23">
      <c r="D261" s="17"/>
      <c r="E261" s="17"/>
      <c r="F261" s="17"/>
      <c r="G261" s="17"/>
      <c r="H261" s="17"/>
      <c r="I261" s="17"/>
      <c r="J261" s="17"/>
      <c r="K261" s="17"/>
      <c r="L261" s="17"/>
      <c r="M261" s="17"/>
      <c r="N261" s="96"/>
      <c r="O261" s="96"/>
      <c r="P261" s="17"/>
      <c r="Q261" s="17"/>
      <c r="R261" s="1104"/>
      <c r="S261" s="17"/>
      <c r="T261" s="17"/>
      <c r="U261" s="17"/>
      <c r="V261" s="1104"/>
      <c r="W261" s="1104"/>
    </row>
    <row r="262" spans="4:23">
      <c r="D262" s="17"/>
      <c r="E262" s="17"/>
      <c r="F262" s="17"/>
      <c r="G262" s="17"/>
      <c r="H262" s="17"/>
      <c r="I262" s="17"/>
      <c r="J262" s="17"/>
      <c r="K262" s="17"/>
      <c r="L262" s="17"/>
      <c r="M262" s="17"/>
      <c r="N262" s="96"/>
      <c r="O262" s="96"/>
      <c r="P262" s="17"/>
      <c r="Q262" s="17"/>
      <c r="R262" s="17"/>
      <c r="S262" s="17"/>
      <c r="T262" s="17"/>
      <c r="U262" s="17"/>
      <c r="V262" s="17"/>
      <c r="W262" s="17"/>
    </row>
    <row r="263" spans="4:23">
      <c r="D263" s="17"/>
      <c r="E263" s="17"/>
      <c r="F263" s="17"/>
      <c r="G263" s="17"/>
      <c r="H263" s="17"/>
      <c r="I263" s="17"/>
      <c r="J263" s="17"/>
      <c r="K263" s="17"/>
      <c r="L263" s="17"/>
      <c r="M263" s="17"/>
      <c r="N263" s="96"/>
      <c r="O263" s="96"/>
      <c r="P263" s="17"/>
      <c r="Q263" s="17"/>
      <c r="R263" s="17"/>
      <c r="S263" s="17"/>
      <c r="T263" s="17"/>
      <c r="U263" s="17"/>
      <c r="V263" s="17"/>
      <c r="W263" s="17"/>
    </row>
    <row r="264" spans="4:23">
      <c r="D264" s="17"/>
      <c r="E264" s="17"/>
      <c r="F264" s="17"/>
      <c r="G264" s="17"/>
      <c r="H264" s="17"/>
      <c r="I264" s="17"/>
      <c r="J264" s="17"/>
      <c r="K264" s="17"/>
      <c r="L264" s="17"/>
      <c r="M264" s="17"/>
      <c r="N264" s="96"/>
      <c r="O264" s="96"/>
      <c r="P264" s="17"/>
      <c r="Q264" s="17"/>
      <c r="R264" s="17"/>
      <c r="S264" s="17"/>
      <c r="T264" s="17"/>
      <c r="U264" s="17"/>
      <c r="V264" s="17"/>
      <c r="W264" s="17"/>
    </row>
    <row r="265" spans="4:23">
      <c r="D265" s="17"/>
      <c r="E265" s="17"/>
      <c r="F265" s="17"/>
      <c r="G265" s="17"/>
      <c r="H265" s="17"/>
      <c r="I265" s="17"/>
      <c r="J265" s="17"/>
      <c r="K265" s="17"/>
      <c r="L265" s="17"/>
      <c r="M265" s="17"/>
      <c r="N265" s="96"/>
      <c r="O265" s="96"/>
      <c r="P265" s="17"/>
      <c r="Q265" s="17"/>
      <c r="R265" s="17"/>
      <c r="S265" s="17"/>
      <c r="T265" s="17"/>
      <c r="U265" s="17"/>
      <c r="V265" s="17"/>
      <c r="W265" s="17"/>
    </row>
    <row r="266" spans="4:23">
      <c r="D266" s="17"/>
      <c r="E266" s="17"/>
      <c r="F266" s="17"/>
      <c r="G266" s="17"/>
      <c r="H266" s="17"/>
      <c r="I266" s="17"/>
      <c r="J266" s="17"/>
      <c r="K266" s="17"/>
      <c r="L266" s="17"/>
      <c r="M266" s="17"/>
      <c r="N266" s="96"/>
      <c r="O266" s="96"/>
      <c r="P266" s="17"/>
      <c r="Q266" s="17"/>
      <c r="R266" s="17"/>
      <c r="S266" s="17"/>
      <c r="T266" s="17"/>
      <c r="U266" s="17"/>
      <c r="V266" s="17"/>
      <c r="W266" s="17"/>
    </row>
    <row r="267" spans="4:23">
      <c r="D267" s="17"/>
      <c r="E267" s="17"/>
      <c r="F267" s="17"/>
      <c r="G267" s="17"/>
      <c r="H267" s="17"/>
      <c r="I267" s="17"/>
      <c r="J267" s="17"/>
      <c r="K267" s="17"/>
      <c r="L267" s="17"/>
      <c r="M267" s="17"/>
      <c r="N267" s="96"/>
      <c r="O267" s="96"/>
      <c r="P267" s="17"/>
      <c r="Q267" s="17"/>
      <c r="R267" s="17"/>
      <c r="S267" s="17"/>
      <c r="T267" s="17"/>
      <c r="U267" s="17"/>
      <c r="V267" s="17"/>
      <c r="W267" s="17"/>
    </row>
    <row r="268" spans="4:23">
      <c r="D268" s="17"/>
      <c r="E268" s="17"/>
      <c r="F268" s="17"/>
      <c r="G268" s="17"/>
      <c r="H268" s="17"/>
      <c r="I268" s="17"/>
      <c r="J268" s="17"/>
      <c r="K268" s="17"/>
      <c r="L268" s="17"/>
      <c r="M268" s="17"/>
      <c r="N268" s="96"/>
      <c r="O268" s="96"/>
      <c r="P268" s="17"/>
      <c r="Q268" s="17"/>
      <c r="R268" s="17"/>
      <c r="S268" s="17"/>
      <c r="T268" s="17"/>
      <c r="U268" s="17"/>
      <c r="V268" s="17"/>
      <c r="W268" s="17"/>
    </row>
    <row r="269" spans="4:23">
      <c r="D269" s="17"/>
      <c r="E269" s="17"/>
      <c r="F269" s="17"/>
      <c r="G269" s="17"/>
      <c r="H269" s="17"/>
      <c r="I269" s="17"/>
      <c r="J269" s="17"/>
      <c r="K269" s="17"/>
      <c r="L269" s="17"/>
      <c r="M269" s="17"/>
      <c r="N269" s="96"/>
      <c r="O269" s="96"/>
      <c r="P269" s="17"/>
      <c r="Q269" s="17"/>
      <c r="R269" s="17"/>
      <c r="S269" s="17"/>
      <c r="T269" s="17"/>
      <c r="U269" s="17"/>
      <c r="V269" s="17"/>
      <c r="W269" s="17"/>
    </row>
    <row r="270" spans="4:23">
      <c r="D270" s="17"/>
      <c r="E270" s="17"/>
      <c r="F270" s="17"/>
      <c r="G270" s="17"/>
      <c r="H270" s="17"/>
      <c r="I270" s="17"/>
      <c r="J270" s="17"/>
      <c r="K270" s="17"/>
      <c r="L270" s="17"/>
      <c r="M270" s="17"/>
      <c r="N270" s="96"/>
      <c r="O270" s="96"/>
      <c r="P270" s="17"/>
      <c r="Q270" s="17"/>
      <c r="R270" s="17"/>
      <c r="S270" s="17"/>
      <c r="T270" s="17"/>
      <c r="U270" s="17"/>
      <c r="V270" s="17"/>
      <c r="W270" s="17"/>
    </row>
    <row r="271" spans="4:23">
      <c r="D271" s="17"/>
      <c r="E271" s="17"/>
      <c r="F271" s="17"/>
      <c r="G271" s="17"/>
      <c r="H271" s="17"/>
      <c r="I271" s="17"/>
      <c r="J271" s="17"/>
      <c r="K271" s="17"/>
      <c r="L271" s="17"/>
      <c r="M271" s="17"/>
      <c r="N271" s="96"/>
      <c r="O271" s="96"/>
      <c r="P271" s="17"/>
      <c r="Q271" s="17"/>
      <c r="R271" s="17"/>
      <c r="S271" s="17"/>
      <c r="T271" s="17"/>
      <c r="U271" s="17"/>
      <c r="V271" s="17"/>
      <c r="W271" s="17"/>
    </row>
    <row r="272" spans="4:23">
      <c r="D272" s="17"/>
      <c r="E272" s="17"/>
      <c r="F272" s="17"/>
      <c r="G272" s="17"/>
      <c r="H272" s="17"/>
      <c r="I272" s="17"/>
      <c r="J272" s="17"/>
      <c r="K272" s="17"/>
      <c r="L272" s="17"/>
      <c r="M272" s="17"/>
      <c r="N272" s="96"/>
      <c r="O272" s="96"/>
      <c r="P272" s="17"/>
      <c r="Q272" s="17"/>
      <c r="R272" s="17"/>
      <c r="S272" s="17"/>
      <c r="T272" s="17"/>
      <c r="U272" s="17"/>
      <c r="V272" s="17"/>
      <c r="W272" s="17"/>
    </row>
    <row r="273" spans="4:23">
      <c r="D273" s="17"/>
      <c r="E273" s="17"/>
      <c r="F273" s="17"/>
      <c r="G273" s="17"/>
      <c r="H273" s="17"/>
      <c r="I273" s="17"/>
      <c r="J273" s="17"/>
      <c r="K273" s="17"/>
      <c r="L273" s="17"/>
      <c r="M273" s="17"/>
      <c r="N273" s="96"/>
      <c r="O273" s="96"/>
      <c r="P273" s="17"/>
      <c r="Q273" s="17"/>
      <c r="R273" s="17"/>
      <c r="S273" s="17"/>
      <c r="T273" s="17"/>
      <c r="U273" s="17"/>
      <c r="V273" s="17"/>
      <c r="W273" s="17"/>
    </row>
    <row r="274" spans="4:23">
      <c r="D274" s="17"/>
      <c r="E274" s="17"/>
      <c r="F274" s="17"/>
      <c r="G274" s="17"/>
      <c r="H274" s="17"/>
      <c r="I274" s="17"/>
      <c r="J274" s="17"/>
      <c r="K274" s="17"/>
      <c r="L274" s="17"/>
      <c r="M274" s="17"/>
      <c r="N274" s="96"/>
      <c r="O274" s="96"/>
      <c r="P274" s="17"/>
      <c r="Q274" s="17"/>
      <c r="R274" s="17"/>
      <c r="S274" s="17"/>
      <c r="T274" s="17"/>
      <c r="U274" s="17"/>
      <c r="V274" s="17"/>
      <c r="W274" s="17"/>
    </row>
    <row r="275" spans="4:23">
      <c r="D275" s="17"/>
      <c r="E275" s="17"/>
      <c r="F275" s="17"/>
      <c r="G275" s="17"/>
      <c r="H275" s="17"/>
      <c r="I275" s="17"/>
      <c r="J275" s="17"/>
      <c r="K275" s="17"/>
      <c r="L275" s="17"/>
      <c r="M275" s="17"/>
      <c r="N275" s="96"/>
      <c r="O275" s="96"/>
      <c r="P275" s="17"/>
      <c r="Q275" s="17"/>
      <c r="R275" s="17"/>
      <c r="S275" s="17"/>
      <c r="T275" s="17"/>
      <c r="U275" s="17"/>
      <c r="V275" s="17"/>
      <c r="W275" s="17"/>
    </row>
    <row r="276" spans="4:23">
      <c r="D276" s="17"/>
      <c r="E276" s="17"/>
      <c r="F276" s="17"/>
      <c r="G276" s="17"/>
      <c r="H276" s="17"/>
      <c r="I276" s="17"/>
      <c r="J276" s="17"/>
      <c r="K276" s="17"/>
      <c r="L276" s="17"/>
      <c r="M276" s="17"/>
      <c r="N276" s="96"/>
      <c r="O276" s="96"/>
      <c r="P276" s="17"/>
      <c r="Q276" s="17"/>
      <c r="R276" s="17"/>
      <c r="S276" s="17"/>
      <c r="T276" s="17"/>
      <c r="U276" s="17"/>
      <c r="V276" s="17"/>
      <c r="W276" s="17"/>
    </row>
    <row r="277" spans="4:23">
      <c r="D277" s="17"/>
      <c r="E277" s="17"/>
      <c r="F277" s="17"/>
      <c r="G277" s="17"/>
      <c r="H277" s="17"/>
      <c r="I277" s="17"/>
      <c r="J277" s="17"/>
      <c r="K277" s="17"/>
      <c r="L277" s="17"/>
      <c r="M277" s="17"/>
      <c r="N277" s="96"/>
      <c r="O277" s="96"/>
      <c r="P277" s="17"/>
      <c r="Q277" s="17"/>
      <c r="R277" s="17"/>
      <c r="S277" s="17"/>
      <c r="T277" s="17"/>
      <c r="U277" s="17"/>
      <c r="V277" s="17"/>
      <c r="W277" s="17"/>
    </row>
    <row r="278" spans="4:23">
      <c r="D278" s="17"/>
      <c r="E278" s="17"/>
      <c r="F278" s="17"/>
      <c r="G278" s="17"/>
      <c r="H278" s="17"/>
      <c r="I278" s="17"/>
      <c r="J278" s="17"/>
      <c r="K278" s="17"/>
      <c r="L278" s="17"/>
      <c r="M278" s="17"/>
      <c r="N278" s="96"/>
      <c r="O278" s="96"/>
      <c r="P278" s="17"/>
      <c r="Q278" s="17"/>
      <c r="R278" s="17"/>
      <c r="S278" s="17"/>
      <c r="T278" s="17"/>
      <c r="U278" s="17"/>
      <c r="V278" s="17"/>
      <c r="W278" s="17"/>
    </row>
    <row r="279" spans="4:23">
      <c r="D279" s="17"/>
      <c r="E279" s="17"/>
      <c r="F279" s="17"/>
      <c r="G279" s="17"/>
      <c r="H279" s="17"/>
      <c r="I279" s="17"/>
      <c r="J279" s="17"/>
      <c r="K279" s="17"/>
      <c r="L279" s="17"/>
      <c r="M279" s="17"/>
      <c r="N279" s="96"/>
      <c r="O279" s="96"/>
      <c r="P279" s="17"/>
      <c r="Q279" s="17"/>
      <c r="R279" s="17"/>
      <c r="S279" s="17"/>
      <c r="T279" s="17"/>
      <c r="U279" s="17"/>
      <c r="V279" s="17"/>
      <c r="W279" s="17"/>
    </row>
  </sheetData>
  <mergeCells count="32">
    <mergeCell ref="U209:Y209"/>
    <mergeCell ref="AA209:AE209"/>
    <mergeCell ref="B1:M1"/>
    <mergeCell ref="B2:M2"/>
    <mergeCell ref="O209:S209"/>
    <mergeCell ref="T156:U156"/>
    <mergeCell ref="V156:W156"/>
    <mergeCell ref="B3:M3"/>
    <mergeCell ref="B208:F208"/>
    <mergeCell ref="B209:F209"/>
    <mergeCell ref="B4:E4"/>
    <mergeCell ref="B5:E5"/>
    <mergeCell ref="G4:M4"/>
    <mergeCell ref="G5:M5"/>
    <mergeCell ref="B207:F207"/>
    <mergeCell ref="B221:F221"/>
    <mergeCell ref="B210:F210"/>
    <mergeCell ref="B211:F211"/>
    <mergeCell ref="B212:F212"/>
    <mergeCell ref="B213:F213"/>
    <mergeCell ref="B214:F214"/>
    <mergeCell ref="B216:F216"/>
    <mergeCell ref="B217:F217"/>
    <mergeCell ref="B215:F215"/>
    <mergeCell ref="B218:F218"/>
    <mergeCell ref="B219:F219"/>
    <mergeCell ref="B220:F220"/>
    <mergeCell ref="B226:F226"/>
    <mergeCell ref="B222:F222"/>
    <mergeCell ref="B223:F223"/>
    <mergeCell ref="B224:F224"/>
    <mergeCell ref="B225:F225"/>
  </mergeCells>
  <phoneticPr fontId="7" type="noConversion"/>
  <printOptions horizontalCentered="1"/>
  <pageMargins left="0.5" right="0.5" top="0.75" bottom="0.5" header="0.5" footer="0.5"/>
  <pageSetup scale="90" orientation="portrait" verticalDpi="300" r:id="rId1"/>
  <headerFooter alignWithMargins="0">
    <oddFooter>&amp;C &amp;P&amp;R&amp;F, &amp;D</oddFooter>
  </headerFooter>
  <rowBreaks count="5" manualBreakCount="5">
    <brk id="44" min="1" max="12" man="1"/>
    <brk id="78" min="1" max="12" man="1"/>
    <brk id="112" min="1" max="12" man="1"/>
    <brk id="144" min="1" max="12" man="1"/>
    <brk id="182" min="1" max="12" man="1"/>
  </rowBreaks>
  <drawing r:id="rId2"/>
  <legacyDrawing r:id="rId3"/>
  <extLst>
    <ext xmlns:x14="http://schemas.microsoft.com/office/spreadsheetml/2009/9/main" uri="{CCE6A557-97BC-4b89-ADB6-D9C93CAAB3DF}">
      <x14:dataValidations xmlns:xm="http://schemas.microsoft.com/office/excel/2006/main" count="1">
        <x14:dataValidation type="list" showInputMessage="1" showErrorMessage="1" errorTitle="Invalide Entry" error="Please select coolant from list" promptTitle="Select Coolant Type" xr:uid="{00000000-0002-0000-0300-000000000000}">
          <x14:formula1>
            <xm:f>Lists!$D$3:$D$5</xm:f>
          </x14:formula1>
          <xm:sqref>G63:M63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6" tint="-0.249977111117893"/>
    <pageSetUpPr fitToPage="1"/>
  </sheetPr>
  <dimension ref="A1:U64"/>
  <sheetViews>
    <sheetView zoomScaleNormal="100" workbookViewId="0">
      <pane ySplit="3" topLeftCell="A4" activePane="bottomLeft" state="frozen"/>
      <selection pane="bottomLeft" activeCell="B48" sqref="B48"/>
    </sheetView>
  </sheetViews>
  <sheetFormatPr baseColWidth="10" defaultColWidth="9.1640625" defaultRowHeight="13"/>
  <cols>
    <col min="1" max="2" width="9.1640625" style="853"/>
    <col min="3" max="3" width="7.5" style="853" customWidth="1"/>
    <col min="4" max="4" width="23.33203125" style="853" customWidth="1"/>
    <col min="5" max="5" width="21.5" style="853" customWidth="1"/>
    <col min="6" max="6" width="7.83203125" style="853" customWidth="1"/>
    <col min="7" max="13" width="12.6640625" style="853" customWidth="1"/>
    <col min="14" max="14" width="9.5" style="1105" customWidth="1"/>
    <col min="15" max="15" width="9.5" style="853" bestFit="1" customWidth="1"/>
    <col min="16" max="16" width="10.6640625" style="853" customWidth="1"/>
    <col min="17" max="17" width="12" style="853" customWidth="1"/>
    <col min="18" max="19" width="9.1640625" style="853"/>
    <col min="20" max="20" width="19.33203125" style="853" customWidth="1"/>
    <col min="21" max="16384" width="9.1640625" style="853"/>
  </cols>
  <sheetData>
    <row r="1" spans="1:19" ht="18">
      <c r="B1" s="1277" t="s">
        <v>626</v>
      </c>
      <c r="C1" s="1277"/>
      <c r="D1" s="1277"/>
      <c r="E1" s="1277"/>
      <c r="F1" s="1277"/>
      <c r="G1" s="1277"/>
      <c r="H1" s="1277"/>
      <c r="I1" s="1277"/>
      <c r="J1" s="1277"/>
      <c r="K1" s="1277"/>
      <c r="L1" s="1277"/>
      <c r="M1" s="1277"/>
    </row>
    <row r="2" spans="1:19" ht="22" customHeight="1">
      <c r="B2" s="1294" t="str">
        <f>Chem!C5</f>
        <v>LiFePO4 / Graphite</v>
      </c>
      <c r="C2" s="1294"/>
      <c r="D2" s="1294"/>
      <c r="E2" s="1294"/>
      <c r="F2" s="1294"/>
      <c r="G2" s="1294"/>
      <c r="H2" s="1294"/>
      <c r="I2" s="1294"/>
      <c r="J2" s="1294"/>
      <c r="K2" s="1294"/>
      <c r="L2" s="1294"/>
      <c r="M2" s="1294"/>
    </row>
    <row r="3" spans="1:19" ht="14">
      <c r="B3" s="164" t="s">
        <v>703</v>
      </c>
      <c r="G3" s="883" t="s">
        <v>0</v>
      </c>
      <c r="H3" s="883" t="s">
        <v>1</v>
      </c>
      <c r="I3" s="883" t="s">
        <v>2</v>
      </c>
      <c r="J3" s="883" t="s">
        <v>3</v>
      </c>
      <c r="K3" s="883" t="s">
        <v>4</v>
      </c>
      <c r="L3" s="883" t="s">
        <v>530</v>
      </c>
      <c r="M3" s="883" t="s">
        <v>531</v>
      </c>
      <c r="Q3" s="171"/>
    </row>
    <row r="4" spans="1:19">
      <c r="B4" s="853" t="s">
        <v>14</v>
      </c>
      <c r="G4" s="162">
        <f ca="1" xml:space="preserve"> 'Battery Design'!G146</f>
        <v>309.40234438966644</v>
      </c>
      <c r="H4" s="162">
        <f ca="1">'Battery Design'!H146</f>
        <v>309.40234438966644</v>
      </c>
      <c r="I4" s="162">
        <f ca="1">'Battery Design'!I146</f>
        <v>309.40234438966644</v>
      </c>
      <c r="J4" s="162">
        <f ca="1">'Battery Design'!J146</f>
        <v>309.40234438966644</v>
      </c>
      <c r="K4" s="162">
        <f ca="1">'Battery Design'!K146</f>
        <v>309.40234438966644</v>
      </c>
      <c r="L4" s="162">
        <f ca="1">'Battery Design'!L146</f>
        <v>309.40234438966644</v>
      </c>
      <c r="M4" s="195">
        <f ca="1">'Battery Design'!M146</f>
        <v>309.40234438966644</v>
      </c>
      <c r="N4" s="170"/>
      <c r="O4" s="1106"/>
      <c r="P4" s="171"/>
      <c r="Q4" s="170"/>
      <c r="R4" s="170"/>
    </row>
    <row r="5" spans="1:19">
      <c r="B5" s="853" t="s">
        <v>704</v>
      </c>
      <c r="F5" s="168"/>
      <c r="G5" s="371">
        <f ca="1">'Battery Design'!G147</f>
        <v>99.999999999999957</v>
      </c>
      <c r="H5" s="371">
        <f ca="1">'Battery Design'!H147</f>
        <v>99.999999999999957</v>
      </c>
      <c r="I5" s="371">
        <f ca="1">'Battery Design'!I147</f>
        <v>99.999999999999957</v>
      </c>
      <c r="J5" s="371">
        <f ca="1">'Battery Design'!J147</f>
        <v>99.999999999999957</v>
      </c>
      <c r="K5" s="371">
        <f ca="1">'Battery Design'!K147</f>
        <v>99.999999999999957</v>
      </c>
      <c r="L5" s="371">
        <f ca="1">'Battery Design'!L147</f>
        <v>99.999999999999957</v>
      </c>
      <c r="M5" s="371">
        <f ca="1">'Battery Design'!M147</f>
        <v>99.999999999999957</v>
      </c>
      <c r="N5" s="1081"/>
      <c r="O5" s="1106"/>
      <c r="P5" s="171"/>
      <c r="Q5" s="1081"/>
      <c r="R5" s="1081"/>
    </row>
    <row r="6" spans="1:19">
      <c r="B6" s="853" t="s">
        <v>627</v>
      </c>
      <c r="G6" s="165">
        <f>'Battery Design'!G150/Chem!$C61</f>
        <v>100</v>
      </c>
      <c r="H6" s="165">
        <f>'Battery Design'!H150/Chem!$C61</f>
        <v>100</v>
      </c>
      <c r="I6" s="165">
        <f>'Battery Design'!I150/Chem!$C61</f>
        <v>100</v>
      </c>
      <c r="J6" s="165">
        <f>'Battery Design'!J150/Chem!$C61</f>
        <v>100</v>
      </c>
      <c r="K6" s="165">
        <f>'Battery Design'!K150/Chem!$C61</f>
        <v>100</v>
      </c>
      <c r="L6" s="165">
        <f>'Battery Design'!L150/Chem!$C61</f>
        <v>100</v>
      </c>
      <c r="M6" s="165">
        <f>'Battery Design'!M150/Chem!$C61</f>
        <v>100</v>
      </c>
      <c r="N6" s="1106"/>
      <c r="O6" s="1106"/>
      <c r="P6" s="1106"/>
      <c r="Q6" s="1106"/>
      <c r="R6" s="1106"/>
    </row>
    <row r="7" spans="1:19">
      <c r="B7" s="853" t="s">
        <v>705</v>
      </c>
      <c r="G7" s="162">
        <f>'Battery Design'!G150</f>
        <v>328.2</v>
      </c>
      <c r="H7" s="162">
        <f>'Battery Design'!H150</f>
        <v>328.2</v>
      </c>
      <c r="I7" s="162">
        <f>'Battery Design'!I150</f>
        <v>328.2</v>
      </c>
      <c r="J7" s="162">
        <f>'Battery Design'!J150</f>
        <v>328.2</v>
      </c>
      <c r="K7" s="162">
        <f>'Battery Design'!K150</f>
        <v>328.2</v>
      </c>
      <c r="L7" s="162">
        <f>'Battery Design'!L150</f>
        <v>328.2</v>
      </c>
      <c r="M7" s="162">
        <f>'Battery Design'!M150</f>
        <v>328.2</v>
      </c>
      <c r="N7" s="170"/>
      <c r="O7" s="1106"/>
      <c r="P7" s="171"/>
      <c r="Q7" s="170"/>
      <c r="R7" s="170"/>
    </row>
    <row r="8" spans="1:19">
      <c r="B8" s="853" t="s">
        <v>706</v>
      </c>
      <c r="G8" s="162">
        <f>Chem!$C60*G6</f>
        <v>324.60000000000002</v>
      </c>
      <c r="H8" s="162">
        <f>Chem!$C60*H6</f>
        <v>324.60000000000002</v>
      </c>
      <c r="I8" s="162">
        <f>Chem!$C60*I6</f>
        <v>324.60000000000002</v>
      </c>
      <c r="J8" s="162">
        <f>Chem!$C60*J6</f>
        <v>324.60000000000002</v>
      </c>
      <c r="K8" s="162">
        <f>Chem!$C60*K6</f>
        <v>324.60000000000002</v>
      </c>
      <c r="L8" s="162">
        <f>Chem!$C60*L6</f>
        <v>324.60000000000002</v>
      </c>
      <c r="M8" s="162">
        <f>Chem!$C60*M6</f>
        <v>324.60000000000002</v>
      </c>
      <c r="N8" s="170"/>
      <c r="O8" s="170"/>
      <c r="P8" s="374"/>
      <c r="Q8" s="170"/>
      <c r="R8" s="170"/>
    </row>
    <row r="9" spans="1:19" ht="14">
      <c r="B9" s="164" t="s">
        <v>1024</v>
      </c>
      <c r="G9" s="170"/>
      <c r="H9" s="170"/>
      <c r="I9" s="170"/>
      <c r="J9" s="170"/>
      <c r="K9" s="170"/>
      <c r="L9" s="170"/>
      <c r="M9" s="170"/>
      <c r="N9" s="359"/>
      <c r="O9" s="170"/>
      <c r="P9" s="321"/>
      <c r="Q9" s="359"/>
      <c r="R9" s="359"/>
    </row>
    <row r="10" spans="1:19" ht="14">
      <c r="A10" s="211" t="s">
        <v>991</v>
      </c>
      <c r="B10" s="849" t="s">
        <v>685</v>
      </c>
      <c r="C10" s="366"/>
      <c r="D10" s="366"/>
      <c r="E10" s="366"/>
      <c r="F10" s="850">
        <f>IF(Dashboard!D30="Yes",1,0)</f>
        <v>0</v>
      </c>
      <c r="G10" s="170"/>
      <c r="H10" s="170"/>
      <c r="I10" s="170"/>
      <c r="J10" s="170"/>
      <c r="K10" s="170"/>
      <c r="L10" s="170"/>
      <c r="M10" s="170"/>
      <c r="N10" s="359"/>
      <c r="O10" s="170"/>
      <c r="P10" s="321"/>
      <c r="Q10" s="359"/>
      <c r="R10" s="359"/>
    </row>
    <row r="11" spans="1:19" ht="14">
      <c r="A11" s="211" t="s">
        <v>991</v>
      </c>
      <c r="B11" s="853" t="s">
        <v>1486</v>
      </c>
      <c r="G11" s="170">
        <f t="shared" ref="G11" ca="1" si="0">(75%-15%)*G4*1000/G15*60/G31</f>
        <v>8.7596023789907562</v>
      </c>
      <c r="H11" s="170">
        <f t="shared" ref="H11:L11" ca="1" si="1">(75%-15%)*H4*1000/H15*60/H31</f>
        <v>8.7596023789907562</v>
      </c>
      <c r="I11" s="170">
        <f t="shared" ca="1" si="1"/>
        <v>8.7596023789907562</v>
      </c>
      <c r="J11" s="170">
        <f t="shared" ca="1" si="1"/>
        <v>8.7596023789907562</v>
      </c>
      <c r="K11" s="170">
        <f t="shared" ca="1" si="1"/>
        <v>8.7596023789907562</v>
      </c>
      <c r="L11" s="170">
        <f t="shared" ca="1" si="1"/>
        <v>8.7596023789907562</v>
      </c>
      <c r="M11" s="170">
        <f ca="1">(75%-15%)*M4*1000/M15*60/M31</f>
        <v>8.7596023789907562</v>
      </c>
      <c r="N11" s="359"/>
      <c r="O11" s="170"/>
      <c r="P11" s="321"/>
      <c r="Q11" s="359"/>
      <c r="R11" s="359"/>
    </row>
    <row r="12" spans="1:19">
      <c r="B12" s="853" t="s">
        <v>1484</v>
      </c>
      <c r="G12" s="239">
        <f>Chem!$C78</f>
        <v>9</v>
      </c>
      <c r="H12" s="239">
        <f>Chem!$C78</f>
        <v>9</v>
      </c>
      <c r="I12" s="239">
        <f>Chem!$C78</f>
        <v>9</v>
      </c>
      <c r="J12" s="239">
        <f>Chem!$C78</f>
        <v>9</v>
      </c>
      <c r="K12" s="239">
        <f>Chem!$C78</f>
        <v>9</v>
      </c>
      <c r="L12" s="239">
        <f>Chem!$C78</f>
        <v>9</v>
      </c>
      <c r="M12" s="239">
        <f>Chem!$C78</f>
        <v>9</v>
      </c>
      <c r="N12" s="359"/>
      <c r="O12" s="170"/>
      <c r="P12" s="321"/>
      <c r="Q12" s="359"/>
      <c r="R12" s="359"/>
    </row>
    <row r="13" spans="1:19">
      <c r="B13" s="853" t="s">
        <v>660</v>
      </c>
      <c r="G13" s="359">
        <f ca="1">3/G4*(G7-G5*1000/G4)</f>
        <v>4.8444139307131179E-2</v>
      </c>
      <c r="H13" s="359">
        <f t="shared" ref="H13:L13" ca="1" si="2">3/H4*(H7-H5*1000/H4)</f>
        <v>4.8444139307131179E-2</v>
      </c>
      <c r="I13" s="359">
        <f t="shared" ca="1" si="2"/>
        <v>4.8444139307131179E-2</v>
      </c>
      <c r="J13" s="359">
        <f t="shared" ca="1" si="2"/>
        <v>4.8444139307131179E-2</v>
      </c>
      <c r="K13" s="359">
        <f t="shared" ca="1" si="2"/>
        <v>4.8444139307131179E-2</v>
      </c>
      <c r="L13" s="359">
        <f t="shared" ca="1" si="2"/>
        <v>4.8444139307131179E-2</v>
      </c>
      <c r="M13" s="359">
        <f ca="1">3/M4*(M7-M5*1000/M4)</f>
        <v>4.8444139307131179E-2</v>
      </c>
      <c r="N13" s="359"/>
      <c r="O13" s="324"/>
      <c r="P13" s="359"/>
      <c r="Q13" s="359"/>
      <c r="R13" s="359"/>
      <c r="S13" s="359"/>
    </row>
    <row r="14" spans="1:19">
      <c r="B14" s="54" t="s">
        <v>1485</v>
      </c>
      <c r="N14" s="359"/>
      <c r="O14" s="359"/>
      <c r="P14" s="195"/>
      <c r="Q14" s="359"/>
      <c r="R14" s="359"/>
    </row>
    <row r="15" spans="1:19">
      <c r="B15" s="853" t="s">
        <v>1362</v>
      </c>
      <c r="G15" s="273">
        <f ca="1">IF(Dashboard!$D56=0,50000,MAX('Battery Design'!G109:G110)*'Battery Design'!G69*'Battery Design'!G73)</f>
        <v>35321.505589311273</v>
      </c>
      <c r="H15" s="273">
        <f ca="1">IF(Dashboard!$D56=0,50000,MAX('Battery Design'!H109:H110)*'Battery Design'!H69*'Battery Design'!H73)</f>
        <v>35321.505589311273</v>
      </c>
      <c r="I15" s="273">
        <f ca="1">IF(Dashboard!$D56=0,50000,MAX('Battery Design'!I109:I110)*'Battery Design'!I69*'Battery Design'!I73)</f>
        <v>35321.505589311273</v>
      </c>
      <c r="J15" s="273">
        <f ca="1">IF(Dashboard!$D56=0,50000,MAX('Battery Design'!J109:J110)*'Battery Design'!J69*'Battery Design'!J73)</f>
        <v>35321.505589311273</v>
      </c>
      <c r="K15" s="273">
        <f ca="1">IF(Dashboard!$D56=0,50000,MAX('Battery Design'!K109:K110)*'Battery Design'!K69*'Battery Design'!K73)</f>
        <v>35321.505589311273</v>
      </c>
      <c r="L15" s="273">
        <f ca="1">IF(Dashboard!$D56=0,50000,MAX('Battery Design'!L109:L110)*'Battery Design'!L69*'Battery Design'!L73)</f>
        <v>35321.505589311273</v>
      </c>
      <c r="M15" s="273">
        <f ca="1">IF(Dashboard!$D56=0,50000,MAX('Battery Design'!M109:M110)*'Battery Design'!M69*'Battery Design'!M73)</f>
        <v>35321.505589311273</v>
      </c>
      <c r="N15" s="359"/>
      <c r="O15" s="168"/>
      <c r="P15" s="195"/>
      <c r="Q15" s="359"/>
      <c r="R15" s="359"/>
    </row>
    <row r="16" spans="1:19">
      <c r="B16" s="853" t="s">
        <v>1146</v>
      </c>
      <c r="G16" s="273">
        <f ca="1">'Battery Design'!G112*'Battery Design'!G69*'Battery Design'!G73</f>
        <v>71744.867057756666</v>
      </c>
      <c r="H16" s="273">
        <f ca="1">'Battery Design'!H112*'Battery Design'!H69*'Battery Design'!H73</f>
        <v>71744.867057756666</v>
      </c>
      <c r="I16" s="273">
        <f ca="1">'Battery Design'!I112*'Battery Design'!I69*'Battery Design'!I73</f>
        <v>71744.867057756666</v>
      </c>
      <c r="J16" s="273">
        <f ca="1">'Battery Design'!J112*'Battery Design'!J69*'Battery Design'!J73</f>
        <v>71744.867057756666</v>
      </c>
      <c r="K16" s="273">
        <f ca="1">'Battery Design'!K112*'Battery Design'!K69*'Battery Design'!K73</f>
        <v>71744.867057756666</v>
      </c>
      <c r="L16" s="273">
        <f ca="1">'Battery Design'!L112*'Battery Design'!L69*'Battery Design'!L73</f>
        <v>71744.867057756666</v>
      </c>
      <c r="M16" s="273">
        <f ca="1">'Battery Design'!M112*'Battery Design'!M69*'Battery Design'!M73</f>
        <v>71744.867057756666</v>
      </c>
      <c r="N16" s="359"/>
      <c r="O16" s="168"/>
      <c r="P16" s="273"/>
      <c r="Q16" s="359"/>
      <c r="R16" s="359"/>
    </row>
    <row r="17" spans="2:21">
      <c r="B17" s="853" t="s">
        <v>1375</v>
      </c>
      <c r="G17" s="259">
        <f t="shared" ref="G17" ca="1" si="3">(75%-15%)*G4*60/G31</f>
        <v>309.40234438966644</v>
      </c>
      <c r="H17" s="259">
        <f t="shared" ref="H17:L17" ca="1" si="4">(75%-15%)*H4*60/H31</f>
        <v>309.40234438966644</v>
      </c>
      <c r="I17" s="259">
        <f t="shared" ca="1" si="4"/>
        <v>309.40234438966644</v>
      </c>
      <c r="J17" s="259">
        <f t="shared" ca="1" si="4"/>
        <v>309.40234438966644</v>
      </c>
      <c r="K17" s="259">
        <f t="shared" ca="1" si="4"/>
        <v>309.40234438966644</v>
      </c>
      <c r="L17" s="259">
        <f t="shared" ca="1" si="4"/>
        <v>309.40234438966644</v>
      </c>
      <c r="M17" s="259">
        <f ca="1">(75%-15%)*M4*60/M31</f>
        <v>309.40234438966644</v>
      </c>
      <c r="N17" s="359"/>
      <c r="O17" s="1106"/>
      <c r="P17" s="273"/>
      <c r="Q17" s="359"/>
      <c r="R17" s="359"/>
    </row>
    <row r="18" spans="2:21">
      <c r="B18" s="853" t="s">
        <v>1376</v>
      </c>
      <c r="G18" s="272">
        <f ca="1">IF(Dashboard!$D56=0,G17,G12/1000*G16)</f>
        <v>645.70380351980998</v>
      </c>
      <c r="H18" s="272">
        <f ca="1">IF(Dashboard!$D56=0,H17,H12/1000*H16)</f>
        <v>645.70380351980998</v>
      </c>
      <c r="I18" s="272">
        <f ca="1">IF(Dashboard!$D56=0,I17,I12/1000*I16)</f>
        <v>645.70380351980998</v>
      </c>
      <c r="J18" s="272">
        <f ca="1">IF(Dashboard!$D56=0,J17,J12/1000*J16)</f>
        <v>645.70380351980998</v>
      </c>
      <c r="K18" s="272">
        <f ca="1">IF(Dashboard!$D56=0,K17,K12/1000*K16)</f>
        <v>645.70380351980998</v>
      </c>
      <c r="L18" s="272">
        <f ca="1">IF(Dashboard!$D56=0,L17,L12/1000*L16)</f>
        <v>645.70380351980998</v>
      </c>
      <c r="M18" s="272">
        <f ca="1">IF(Dashboard!$D56=0,M17,M12/1000*M16)</f>
        <v>645.70380351980998</v>
      </c>
      <c r="N18" s="359"/>
      <c r="P18" s="273"/>
      <c r="Q18" s="359"/>
      <c r="R18" s="359"/>
    </row>
    <row r="19" spans="2:21" s="17" customFormat="1" ht="14">
      <c r="B19" s="122" t="s">
        <v>1374</v>
      </c>
      <c r="F19" s="375"/>
      <c r="G19" s="273"/>
      <c r="H19" s="273"/>
      <c r="I19" s="273"/>
      <c r="J19" s="273"/>
      <c r="K19" s="273"/>
      <c r="L19" s="273"/>
      <c r="M19" s="273"/>
      <c r="N19" s="359"/>
      <c r="O19" s="367"/>
      <c r="P19" s="96"/>
      <c r="Q19" s="359"/>
      <c r="R19" s="359"/>
    </row>
    <row r="20" spans="2:21">
      <c r="B20" s="853" t="s">
        <v>1363</v>
      </c>
      <c r="G20" s="365">
        <f ca="1">'Battery Design'!G101</f>
        <v>120</v>
      </c>
      <c r="H20" s="365">
        <f ca="1">'Battery Design'!H101</f>
        <v>120</v>
      </c>
      <c r="I20" s="365">
        <f ca="1">'Battery Design'!I101</f>
        <v>120</v>
      </c>
      <c r="J20" s="365">
        <f ca="1">'Battery Design'!J101</f>
        <v>120</v>
      </c>
      <c r="K20" s="365">
        <f ca="1">'Battery Design'!K101</f>
        <v>120</v>
      </c>
      <c r="L20" s="365">
        <f ca="1">'Battery Design'!L101</f>
        <v>120</v>
      </c>
      <c r="M20" s="365">
        <f ca="1">'Battery Design'!M101</f>
        <v>120</v>
      </c>
      <c r="N20" s="359"/>
      <c r="O20" s="316"/>
      <c r="P20" s="1107"/>
      <c r="Q20" s="1107"/>
      <c r="R20" s="1107"/>
      <c r="S20" s="1107"/>
    </row>
    <row r="21" spans="2:21">
      <c r="B21" s="853" t="s">
        <v>1148</v>
      </c>
      <c r="F21" s="185"/>
      <c r="G21" s="234">
        <f>G12/1000/'Battery Design'!G41/((75%-15%)/G27*60/10000)</f>
        <v>250.43267391921248</v>
      </c>
      <c r="H21" s="234">
        <f>H12/1000/'Battery Design'!H41/((75%-15%)/H27*60/10000)</f>
        <v>250.43267391921248</v>
      </c>
      <c r="I21" s="234">
        <f>I12/1000/'Battery Design'!I41/((75%-15%)/I27*60/10000)</f>
        <v>250.43267391921248</v>
      </c>
      <c r="J21" s="234">
        <f>J12/1000/'Battery Design'!J41/((75%-15%)/J27*60/10000)</f>
        <v>250.43267391921248</v>
      </c>
      <c r="K21" s="234">
        <f>K12/1000/'Battery Design'!K41/((75%-15%)/K27*60/10000)</f>
        <v>250.43267391921248</v>
      </c>
      <c r="L21" s="234">
        <f>L12/1000/'Battery Design'!L41/((75%-15%)/L27*60/10000)</f>
        <v>250.43267391921248</v>
      </c>
      <c r="M21" s="234">
        <f>M12/1000/'Battery Design'!M41/((75%-15%)/M27*60/10000)</f>
        <v>250.43267391921248</v>
      </c>
      <c r="N21" s="359"/>
      <c r="O21" s="320"/>
      <c r="P21" s="320"/>
      <c r="Q21" s="320"/>
      <c r="R21" s="320"/>
      <c r="S21" s="320"/>
    </row>
    <row r="22" spans="2:21">
      <c r="B22" s="853" t="s">
        <v>1147</v>
      </c>
      <c r="F22" s="185"/>
      <c r="G22" s="234">
        <f ca="1">IF(Dashboard!$D56=0,60,MIN(G20:G21))</f>
        <v>120</v>
      </c>
      <c r="H22" s="234">
        <f ca="1">IF(Dashboard!$D56=0,60,MIN(H20:H21))</f>
        <v>120</v>
      </c>
      <c r="I22" s="234">
        <f ca="1">IF(Dashboard!$D56=0,60,MIN(I20:I21))</f>
        <v>120</v>
      </c>
      <c r="J22" s="234">
        <f ca="1">IF(Dashboard!$D56=0,60,MIN(J20:J21))</f>
        <v>120</v>
      </c>
      <c r="K22" s="234">
        <f ca="1">IF(Dashboard!$D56=0,60,MIN(K20:K21))</f>
        <v>120</v>
      </c>
      <c r="L22" s="234">
        <f ca="1">IF(Dashboard!$D56=0,60,MIN(L20:L21))</f>
        <v>120</v>
      </c>
      <c r="M22" s="234">
        <f ca="1">IF(Dashboard!$D56=0,60,MIN(M20:M21))</f>
        <v>120</v>
      </c>
      <c r="N22" s="320"/>
      <c r="O22" s="320"/>
      <c r="P22" s="320"/>
      <c r="Q22" s="320"/>
      <c r="R22" s="320"/>
      <c r="S22" s="320"/>
    </row>
    <row r="23" spans="2:21">
      <c r="B23" s="853" t="s">
        <v>1149</v>
      </c>
      <c r="F23" s="185"/>
      <c r="G23" s="283" t="str">
        <f ca="1">IF((G25-G50)^2&lt;0.01,"Charger",IF(G12&lt;G11,"Li Deposition","Discharge"))</f>
        <v>Discharge</v>
      </c>
      <c r="H23" s="283" t="str">
        <f t="shared" ref="H23:M23" ca="1" si="5">IF((H25-H50)^2&lt;0.01,"Charger",IF(H12&lt;H11,"Li Deposition","Discharge"))</f>
        <v>Discharge</v>
      </c>
      <c r="I23" s="283" t="str">
        <f t="shared" ca="1" si="5"/>
        <v>Discharge</v>
      </c>
      <c r="J23" s="283" t="str">
        <f t="shared" ca="1" si="5"/>
        <v>Discharge</v>
      </c>
      <c r="K23" s="283" t="str">
        <f t="shared" ca="1" si="5"/>
        <v>Discharge</v>
      </c>
      <c r="L23" s="283" t="str">
        <f t="shared" ca="1" si="5"/>
        <v>Discharge</v>
      </c>
      <c r="M23" s="283" t="str">
        <f t="shared" ca="1" si="5"/>
        <v>Discharge</v>
      </c>
      <c r="N23" s="273"/>
      <c r="O23" s="320"/>
      <c r="P23" s="320"/>
      <c r="Q23" s="320"/>
      <c r="R23" s="320"/>
      <c r="S23" s="320"/>
    </row>
    <row r="24" spans="2:21" ht="14">
      <c r="B24" s="164" t="s">
        <v>663</v>
      </c>
      <c r="C24" s="368"/>
      <c r="D24" s="368"/>
      <c r="E24" s="368"/>
      <c r="F24" s="369"/>
      <c r="G24" s="370"/>
      <c r="H24" s="370"/>
      <c r="I24" s="370"/>
      <c r="J24" s="370"/>
      <c r="K24" s="370"/>
      <c r="L24" s="370"/>
      <c r="M24" s="370"/>
      <c r="N24" s="273"/>
      <c r="O24" s="320"/>
      <c r="P24" s="320"/>
      <c r="Q24" s="320"/>
      <c r="R24" s="320"/>
      <c r="S24" s="320"/>
    </row>
    <row r="25" spans="2:21">
      <c r="B25" s="853" t="s">
        <v>690</v>
      </c>
      <c r="F25" s="185"/>
      <c r="G25" s="415"/>
      <c r="H25" s="415"/>
      <c r="I25" s="415"/>
      <c r="J25" s="415"/>
      <c r="K25" s="415"/>
      <c r="L25" s="415"/>
      <c r="M25" s="415"/>
      <c r="N25" s="273"/>
      <c r="O25" s="320"/>
      <c r="P25" s="320"/>
      <c r="Q25" s="320"/>
      <c r="R25" s="320"/>
      <c r="S25" s="320"/>
      <c r="T25" s="320"/>
      <c r="U25" s="320"/>
    </row>
    <row r="26" spans="2:21" ht="15.75" customHeight="1">
      <c r="B26" s="54" t="s">
        <v>659</v>
      </c>
      <c r="G26" s="273"/>
      <c r="H26" s="273"/>
      <c r="I26" s="273"/>
      <c r="J26" s="273"/>
      <c r="K26" s="273"/>
      <c r="L26" s="273"/>
      <c r="M26" s="273"/>
      <c r="N26" s="374"/>
      <c r="O26" s="1106"/>
      <c r="P26" s="379"/>
      <c r="Q26" s="171"/>
      <c r="R26" s="98"/>
    </row>
    <row r="27" spans="2:21" ht="12.75" customHeight="1">
      <c r="B27" s="853" t="s">
        <v>1150</v>
      </c>
      <c r="G27" s="1055">
        <f>IF($F$10 = 0,36, Dashboard!D46)</f>
        <v>36</v>
      </c>
      <c r="H27" s="1055">
        <f>IF($F$10 = 0,36, Dashboard!E46)</f>
        <v>36</v>
      </c>
      <c r="I27" s="1055">
        <f>IF($F$10 = 0,36, Dashboard!F46)</f>
        <v>36</v>
      </c>
      <c r="J27" s="1055">
        <f>IF($F$10 = 0,36, Dashboard!G46)</f>
        <v>36</v>
      </c>
      <c r="K27" s="1055">
        <f>IF($F$10 = 0,36, Dashboard!H46)</f>
        <v>36</v>
      </c>
      <c r="L27" s="1055">
        <f>IF($F$10 = 0,36, Dashboard!I46)</f>
        <v>36</v>
      </c>
      <c r="M27" s="1055">
        <f>IF($F$10 = 0,36, Dashboard!J46)</f>
        <v>36</v>
      </c>
      <c r="N27" s="1108"/>
    </row>
    <row r="28" spans="2:21" ht="12.75" customHeight="1">
      <c r="B28" s="853" t="s">
        <v>1151</v>
      </c>
      <c r="G28" s="272">
        <f>IF(Dashboard!$D56=0,Dashboard!D46,IF($F10=0,36,IF(G22&gt;G21,Dashboard!D46*G22/G21,IF(G12&gt;G11,Dashboard!D46*G11/G12,Dashboard!D46))))</f>
        <v>36</v>
      </c>
      <c r="H28" s="272">
        <f>IF(Dashboard!$D56=0,Dashboard!E46,IF($F10=0,36,IF(H22&gt;H21,Dashboard!E46*H22/H21,IF(H12&gt;H11,Dashboard!E46*H11/H12,Dashboard!E46))))</f>
        <v>36</v>
      </c>
      <c r="I28" s="272">
        <f>IF(Dashboard!$D56=0,Dashboard!F46,IF($F10=0,36,IF(I22&gt;I21,Dashboard!F46*I22/I21,IF(I12&gt;I11,Dashboard!F46*I11/I12,Dashboard!F46))))</f>
        <v>36</v>
      </c>
      <c r="J28" s="272">
        <f>IF(Dashboard!$D56=0,Dashboard!G46,IF($F10=0,36,IF(J22&gt;J21,Dashboard!G46*J22/J21,IF(J12&gt;J11,Dashboard!G46*J11/J12,Dashboard!G46))))</f>
        <v>36</v>
      </c>
      <c r="K28" s="272">
        <f>IF(Dashboard!$D56=0,Dashboard!H46,IF($F10=0,36,IF(K22&gt;K21,Dashboard!H46*K22/K21,IF(K12&gt;K11,Dashboard!H46*K11/K12,Dashboard!H46))))</f>
        <v>36</v>
      </c>
      <c r="L28" s="272">
        <f>IF(Dashboard!$D56=0,Dashboard!I46,IF($F10=0,36,IF(L22&gt;L21,Dashboard!I46*L22/L21,IF(L12&gt;L11,Dashboard!I46*L11/L12,Dashboard!I46))))</f>
        <v>36</v>
      </c>
      <c r="M28" s="272">
        <f>IF(Dashboard!$D56=0,Dashboard!J46,IF($F10=0,36,IF(M22&gt;M21,Dashboard!J46*M22/M21,IF(M12&gt;M11,Dashboard!J46*M11/M12,Dashboard!J46))))</f>
        <v>36</v>
      </c>
      <c r="N28" s="374"/>
      <c r="O28" s="273"/>
      <c r="P28" s="365"/>
      <c r="Q28" s="365"/>
      <c r="R28" s="365"/>
      <c r="S28" s="98"/>
      <c r="T28" s="98"/>
    </row>
    <row r="29" spans="2:21" ht="12.75" customHeight="1">
      <c r="B29" s="853" t="s">
        <v>1152</v>
      </c>
      <c r="G29" s="185">
        <f>IF(Dashboard!$D56=0,10,IF(G25=0,Dashboard!D46,IF(G50=G25,G30,G30-IF('Battery Design'!G62="EV",0.02,0.15)*(G25-G50))))</f>
        <v>10</v>
      </c>
      <c r="H29" s="185">
        <f>IF(Dashboard!$D56=0,10,IF(H25=0,Dashboard!E46,IF(H50=H25,H30,H30-IF('Battery Design'!H62="EV",0.02,0.15)*(H25-H50))))</f>
        <v>15</v>
      </c>
      <c r="I29" s="185">
        <f>IF(Dashboard!$D56=0,10,IF(I25=0,Dashboard!F46,IF(I50=I25,I30,I30-IF('Battery Design'!I62="EV",0.02,0.15)*(I25-I50))))</f>
        <v>20</v>
      </c>
      <c r="J29" s="185">
        <f>IF(Dashboard!$D56=0,10,IF(J25=0,Dashboard!G46,IF(J50=J25,J30,J30-IF('Battery Design'!J62="EV",0.02,0.15)*(J25-J50))))</f>
        <v>25</v>
      </c>
      <c r="K29" s="185">
        <f>IF(Dashboard!$D56=0,10,IF(K25=0,Dashboard!H46,IF(K50=K25,K30,K30-IF('Battery Design'!K62="EV",0.02,0.15)*(K25-K50))))</f>
        <v>30</v>
      </c>
      <c r="L29" s="185">
        <f>IF(Dashboard!$D56=0,10,IF(L25=0,Dashboard!I46,IF(L50=L25,L30,L30-IF('Battery Design'!L62="EV",0.02,0.15)*(L25-L50))))</f>
        <v>35</v>
      </c>
      <c r="M29" s="185">
        <f>IF(Dashboard!$D56=0,10,IF(M25=0,Dashboard!J46,IF(M50=M25,M30,M30-IF('Battery Design'!M62="EV",0.02,0.15)*(M25-M50))))</f>
        <v>40</v>
      </c>
      <c r="N29" s="374"/>
      <c r="O29" s="273"/>
      <c r="P29" s="402"/>
      <c r="Q29" s="402"/>
      <c r="R29" s="402"/>
      <c r="S29" s="98"/>
      <c r="T29" s="98"/>
    </row>
    <row r="30" spans="2:21" ht="12.75" customHeight="1">
      <c r="B30" s="853" t="s">
        <v>1153</v>
      </c>
      <c r="G30" s="185">
        <f>G29</f>
        <v>10</v>
      </c>
      <c r="H30" s="185">
        <f t="shared" ref="H30:M30" si="6">H29</f>
        <v>15</v>
      </c>
      <c r="I30" s="185">
        <f t="shared" si="6"/>
        <v>20</v>
      </c>
      <c r="J30" s="185">
        <f t="shared" si="6"/>
        <v>25</v>
      </c>
      <c r="K30" s="185">
        <f t="shared" si="6"/>
        <v>30</v>
      </c>
      <c r="L30" s="185">
        <f t="shared" si="6"/>
        <v>35</v>
      </c>
      <c r="M30" s="185">
        <f t="shared" si="6"/>
        <v>40</v>
      </c>
      <c r="N30" s="374"/>
      <c r="O30" s="273"/>
      <c r="P30" s="402"/>
      <c r="Q30" s="402"/>
      <c r="R30" s="402"/>
      <c r="S30" s="98"/>
      <c r="T30" s="98"/>
    </row>
    <row r="31" spans="2:21" ht="12.75" customHeight="1">
      <c r="B31" s="255" t="s">
        <v>691</v>
      </c>
      <c r="C31" s="255"/>
      <c r="D31" s="255"/>
      <c r="E31" s="255"/>
      <c r="F31" s="255"/>
      <c r="G31" s="405">
        <f>IF($F$10 = 0, MAX(G27:G28), MAX(G27:G29))</f>
        <v>36</v>
      </c>
      <c r="H31" s="405">
        <f t="shared" ref="H31:M31" si="7">IF($F$10 = 0, MAX(H27:H28), MAX(H27:H29))</f>
        <v>36</v>
      </c>
      <c r="I31" s="405">
        <f t="shared" si="7"/>
        <v>36</v>
      </c>
      <c r="J31" s="405">
        <f t="shared" si="7"/>
        <v>36</v>
      </c>
      <c r="K31" s="405">
        <f t="shared" si="7"/>
        <v>36</v>
      </c>
      <c r="L31" s="405">
        <f t="shared" si="7"/>
        <v>36</v>
      </c>
      <c r="M31" s="405">
        <f t="shared" si="7"/>
        <v>36</v>
      </c>
      <c r="N31" s="374"/>
      <c r="O31" s="1108"/>
      <c r="P31" s="347"/>
      <c r="Q31" s="347"/>
      <c r="R31" s="347"/>
      <c r="S31" s="98"/>
      <c r="T31" s="98"/>
    </row>
    <row r="32" spans="2:21" ht="12.75" customHeight="1">
      <c r="B32" s="853" t="s">
        <v>629</v>
      </c>
      <c r="G32" s="162">
        <f t="shared" ref="G32" si="8">G31+(4/3)*G31*(85%-75%)/(75%-15%)</f>
        <v>44</v>
      </c>
      <c r="H32" s="162">
        <f t="shared" ref="H32:L32" si="9">H31+(4/3)*H31*(85%-75%)/(75%-15%)</f>
        <v>44</v>
      </c>
      <c r="I32" s="162">
        <f t="shared" si="9"/>
        <v>44</v>
      </c>
      <c r="J32" s="162">
        <f t="shared" si="9"/>
        <v>44</v>
      </c>
      <c r="K32" s="162">
        <f t="shared" si="9"/>
        <v>44</v>
      </c>
      <c r="L32" s="162">
        <f t="shared" si="9"/>
        <v>44</v>
      </c>
      <c r="M32" s="162">
        <f>M31+(4/3)*M31*(85%-75%)/(75%-15%)</f>
        <v>44</v>
      </c>
      <c r="N32" s="374"/>
      <c r="O32" s="324"/>
      <c r="P32" s="170"/>
      <c r="Q32" s="170"/>
      <c r="R32" s="170"/>
      <c r="S32" s="98"/>
      <c r="T32" s="98"/>
    </row>
    <row r="33" spans="1:20" ht="12.75" customHeight="1">
      <c r="A33" s="211" t="s">
        <v>991</v>
      </c>
      <c r="B33" s="853" t="s">
        <v>682</v>
      </c>
      <c r="G33" s="162">
        <f>G32+(2/1)*G31*(95%-85%)/(75%-15%)</f>
        <v>56</v>
      </c>
      <c r="H33" s="162">
        <f t="shared" ref="H33:M33" si="10">H32+(2/1)*H31*(95%-85%)/(75%-15%)</f>
        <v>56</v>
      </c>
      <c r="I33" s="162">
        <f t="shared" si="10"/>
        <v>56</v>
      </c>
      <c r="J33" s="162">
        <f t="shared" si="10"/>
        <v>56</v>
      </c>
      <c r="K33" s="162">
        <f t="shared" si="10"/>
        <v>56</v>
      </c>
      <c r="L33" s="162">
        <f t="shared" si="10"/>
        <v>56</v>
      </c>
      <c r="M33" s="162">
        <f t="shared" si="10"/>
        <v>56</v>
      </c>
      <c r="N33" s="374"/>
      <c r="O33" s="324"/>
      <c r="P33" s="170"/>
      <c r="Q33" s="170"/>
      <c r="R33" s="170"/>
      <c r="S33" s="98"/>
      <c r="T33" s="98"/>
    </row>
    <row r="34" spans="1:20" ht="12.75" customHeight="1">
      <c r="B34" s="853" t="s">
        <v>658</v>
      </c>
      <c r="G34" s="372">
        <f>(75%-15%)*60/G31</f>
        <v>1</v>
      </c>
      <c r="H34" s="372">
        <f t="shared" ref="H34:M34" si="11">(75%-15%)*60/H31</f>
        <v>1</v>
      </c>
      <c r="I34" s="372">
        <f t="shared" si="11"/>
        <v>1</v>
      </c>
      <c r="J34" s="372">
        <f>(75%-15%)*60/J31</f>
        <v>1</v>
      </c>
      <c r="K34" s="372">
        <f>(75%-15%)*60/K31</f>
        <v>1</v>
      </c>
      <c r="L34" s="372">
        <f t="shared" si="11"/>
        <v>1</v>
      </c>
      <c r="M34" s="372">
        <f t="shared" si="11"/>
        <v>1</v>
      </c>
      <c r="N34" s="374"/>
      <c r="O34" s="324"/>
      <c r="P34" s="170"/>
      <c r="Q34" s="170"/>
      <c r="R34" s="170"/>
      <c r="S34" s="98"/>
      <c r="T34" s="98"/>
    </row>
    <row r="35" spans="1:20" ht="12.75" customHeight="1">
      <c r="B35" s="853" t="s">
        <v>664</v>
      </c>
      <c r="G35" s="372">
        <f t="shared" ref="G35" si="12">G34*(3/4)</f>
        <v>0.75</v>
      </c>
      <c r="H35" s="372">
        <f t="shared" ref="H35:M35" si="13">H34*(3/4)</f>
        <v>0.75</v>
      </c>
      <c r="I35" s="372">
        <f t="shared" si="13"/>
        <v>0.75</v>
      </c>
      <c r="J35" s="372">
        <f>J34*(3/4)</f>
        <v>0.75</v>
      </c>
      <c r="K35" s="372">
        <f t="shared" si="13"/>
        <v>0.75</v>
      </c>
      <c r="L35" s="372">
        <f t="shared" si="13"/>
        <v>0.75</v>
      </c>
      <c r="M35" s="372">
        <f t="shared" si="13"/>
        <v>0.75</v>
      </c>
      <c r="N35" s="374"/>
      <c r="O35" s="324"/>
      <c r="P35" s="170"/>
      <c r="Q35" s="170"/>
      <c r="R35" s="170"/>
      <c r="S35" s="98"/>
      <c r="T35" s="98"/>
    </row>
    <row r="36" spans="1:20" ht="12.75" customHeight="1">
      <c r="B36" s="853" t="s">
        <v>666</v>
      </c>
      <c r="G36" s="372">
        <f>G34*(1/2)</f>
        <v>0.5</v>
      </c>
      <c r="H36" s="372">
        <f t="shared" ref="H36:M36" si="14">H34*(1/2)</f>
        <v>0.5</v>
      </c>
      <c r="I36" s="372">
        <f t="shared" si="14"/>
        <v>0.5</v>
      </c>
      <c r="J36" s="372">
        <f t="shared" si="14"/>
        <v>0.5</v>
      </c>
      <c r="K36" s="372">
        <f t="shared" si="14"/>
        <v>0.5</v>
      </c>
      <c r="L36" s="372">
        <f t="shared" si="14"/>
        <v>0.5</v>
      </c>
      <c r="M36" s="372">
        <f t="shared" si="14"/>
        <v>0.5</v>
      </c>
      <c r="N36" s="374"/>
      <c r="O36" s="324"/>
      <c r="P36" s="170"/>
      <c r="Q36" s="170"/>
      <c r="R36" s="170"/>
      <c r="S36" s="98"/>
      <c r="T36" s="98"/>
    </row>
    <row r="37" spans="1:20" ht="14">
      <c r="B37" s="164" t="s">
        <v>665</v>
      </c>
      <c r="G37" s="162"/>
      <c r="H37" s="162"/>
      <c r="I37" s="162"/>
      <c r="J37" s="162"/>
      <c r="K37" s="162"/>
      <c r="L37" s="162"/>
      <c r="M37" s="162"/>
      <c r="N37" s="374"/>
      <c r="O37" s="324"/>
      <c r="P37" s="170"/>
      <c r="Q37" s="170"/>
      <c r="R37" s="170"/>
      <c r="S37" s="98"/>
      <c r="T37" s="98"/>
    </row>
    <row r="38" spans="1:20">
      <c r="B38" s="853" t="s">
        <v>707</v>
      </c>
      <c r="G38" s="321">
        <f t="shared" ref="G38" ca="1" si="15">MIN(G17:G18)^2*G13/1000*G31/60</f>
        <v>2.7825289716394082</v>
      </c>
      <c r="H38" s="321">
        <f t="shared" ref="H38:L38" ca="1" si="16">MIN(H17:H18)^2*H13/1000*H31/60</f>
        <v>2.7825289716394082</v>
      </c>
      <c r="I38" s="321">
        <f t="shared" ca="1" si="16"/>
        <v>2.7825289716394082</v>
      </c>
      <c r="J38" s="321">
        <f t="shared" ca="1" si="16"/>
        <v>2.7825289716394082</v>
      </c>
      <c r="K38" s="321">
        <f t="shared" ca="1" si="16"/>
        <v>2.7825289716394082</v>
      </c>
      <c r="L38" s="321">
        <f t="shared" ca="1" si="16"/>
        <v>2.7825289716394082</v>
      </c>
      <c r="M38" s="321">
        <f ca="1">MIN(M17:M18)^2*M13/1000*M31/60</f>
        <v>2.7825289716394082</v>
      </c>
      <c r="N38" s="325"/>
      <c r="O38" s="380"/>
      <c r="P38" s="325"/>
      <c r="Q38" s="325"/>
      <c r="R38" s="325"/>
      <c r="S38" s="98"/>
      <c r="T38" s="98"/>
    </row>
    <row r="39" spans="1:20">
      <c r="B39" s="853" t="s">
        <v>708</v>
      </c>
      <c r="G39" s="321">
        <f t="shared" ref="G39" ca="1" si="17">MIN(G17:G18)^2*G13/1000*(G31+0.75^2*(G32-G31)+0.5^2*(G33-G32))/60</f>
        <v>3.3622225073976182</v>
      </c>
      <c r="H39" s="321">
        <f t="shared" ref="H39:L39" ca="1" si="18">MIN(H17:H18)^2*H13/1000*(H31+0.75^2*(H32-H31)+0.5^2*(H33-H32))/60</f>
        <v>3.3622225073976182</v>
      </c>
      <c r="I39" s="321">
        <f t="shared" ca="1" si="18"/>
        <v>3.3622225073976182</v>
      </c>
      <c r="J39" s="321">
        <f t="shared" ca="1" si="18"/>
        <v>3.3622225073976182</v>
      </c>
      <c r="K39" s="321">
        <f t="shared" ca="1" si="18"/>
        <v>3.3622225073976182</v>
      </c>
      <c r="L39" s="321">
        <f t="shared" ca="1" si="18"/>
        <v>3.3622225073976182</v>
      </c>
      <c r="M39" s="321">
        <f ca="1">MIN(M17:M18)^2*M13/1000*(M31+0.75^2*(M32-M31)+0.5^2*(M33-M32))/60</f>
        <v>3.3622225073976182</v>
      </c>
      <c r="N39" s="76"/>
      <c r="O39" s="325"/>
      <c r="P39" s="321"/>
      <c r="Q39" s="321"/>
      <c r="R39" s="321"/>
      <c r="S39" s="325"/>
    </row>
    <row r="40" spans="1:20">
      <c r="B40" s="171" t="s">
        <v>1154</v>
      </c>
      <c r="C40" s="351"/>
      <c r="D40" s="351"/>
      <c r="E40" s="351"/>
      <c r="F40" s="351"/>
      <c r="G40" s="400">
        <f t="shared" ref="G40" ca="1" si="19">1-G38/(60%*G5)</f>
        <v>0.95362451713934315</v>
      </c>
      <c r="H40" s="400">
        <f t="shared" ref="H40:L40" ca="1" si="20">1-H38/(60%*H5)</f>
        <v>0.95362451713934315</v>
      </c>
      <c r="I40" s="400">
        <f t="shared" ca="1" si="20"/>
        <v>0.95362451713934315</v>
      </c>
      <c r="J40" s="400">
        <f t="shared" ca="1" si="20"/>
        <v>0.95362451713934315</v>
      </c>
      <c r="K40" s="400">
        <f t="shared" ca="1" si="20"/>
        <v>0.95362451713934315</v>
      </c>
      <c r="L40" s="400">
        <f t="shared" ca="1" si="20"/>
        <v>0.95362451713934315</v>
      </c>
      <c r="M40" s="400">
        <f ca="1">1-M38/(60%*M5)</f>
        <v>0.95362451713934315</v>
      </c>
      <c r="N40" s="76"/>
      <c r="O40" s="325"/>
      <c r="P40" s="400"/>
      <c r="Q40" s="400"/>
      <c r="R40" s="400"/>
      <c r="S40" s="325"/>
    </row>
    <row r="41" spans="1:20">
      <c r="B41" s="171" t="s">
        <v>1155</v>
      </c>
      <c r="C41" s="351"/>
      <c r="D41" s="351"/>
      <c r="E41" s="351"/>
      <c r="F41" s="351"/>
      <c r="G41" s="400">
        <f t="shared" ref="G41" ca="1" si="21">1-G39/(80%*G5)</f>
        <v>0.95797221865752979</v>
      </c>
      <c r="H41" s="400">
        <f t="shared" ref="H41:M41" ca="1" si="22">1-H39/(80%*H5)</f>
        <v>0.95797221865752979</v>
      </c>
      <c r="I41" s="400">
        <f t="shared" ca="1" si="22"/>
        <v>0.95797221865752979</v>
      </c>
      <c r="J41" s="400">
        <f t="shared" ca="1" si="22"/>
        <v>0.95797221865752979</v>
      </c>
      <c r="K41" s="400">
        <f t="shared" ca="1" si="22"/>
        <v>0.95797221865752979</v>
      </c>
      <c r="L41" s="400">
        <f t="shared" ca="1" si="22"/>
        <v>0.95797221865752979</v>
      </c>
      <c r="M41" s="400">
        <f t="shared" ca="1" si="22"/>
        <v>0.95797221865752979</v>
      </c>
      <c r="N41" s="76"/>
      <c r="O41" s="325"/>
      <c r="P41" s="400"/>
      <c r="Q41" s="400"/>
      <c r="R41" s="400"/>
      <c r="S41" s="325"/>
    </row>
    <row r="42" spans="1:20">
      <c r="B42" s="54" t="s">
        <v>709</v>
      </c>
      <c r="C42" s="54"/>
      <c r="D42" s="54"/>
      <c r="E42" s="54"/>
      <c r="F42" s="54"/>
      <c r="G42" s="76">
        <f t="shared" ref="G42" ca="1" si="23">(G44-G43)*G45/3600*G46</f>
        <v>3.0150648858713294</v>
      </c>
      <c r="H42" s="76">
        <f t="shared" ref="H42:M42" ca="1" si="24">(H44-H43)*H45/3600*H46</f>
        <v>3.0150648858713294</v>
      </c>
      <c r="I42" s="76">
        <f t="shared" ca="1" si="24"/>
        <v>3.0150648858713294</v>
      </c>
      <c r="J42" s="76">
        <f t="shared" ca="1" si="24"/>
        <v>3.0150648858713294</v>
      </c>
      <c r="K42" s="76">
        <f t="shared" ca="1" si="24"/>
        <v>3.0150648858713294</v>
      </c>
      <c r="L42" s="76">
        <f t="shared" ca="1" si="24"/>
        <v>3.0150648858713294</v>
      </c>
      <c r="M42" s="76">
        <f t="shared" ca="1" si="24"/>
        <v>3.0150648858713294</v>
      </c>
      <c r="N42" s="374"/>
      <c r="O42" s="76"/>
      <c r="P42" s="76"/>
      <c r="Q42" s="76"/>
      <c r="R42" s="76"/>
      <c r="S42" s="76"/>
    </row>
    <row r="43" spans="1:20" ht="14">
      <c r="A43" s="211" t="s">
        <v>991</v>
      </c>
      <c r="B43" s="853" t="s">
        <v>1531</v>
      </c>
      <c r="G43" s="175">
        <v>15</v>
      </c>
      <c r="H43" s="175">
        <v>15</v>
      </c>
      <c r="I43" s="175">
        <v>15</v>
      </c>
      <c r="J43" s="175">
        <v>15</v>
      </c>
      <c r="K43" s="175">
        <v>15</v>
      </c>
      <c r="L43" s="175">
        <v>15</v>
      </c>
      <c r="M43" s="175">
        <v>15</v>
      </c>
      <c r="N43" s="374"/>
      <c r="O43" s="246"/>
      <c r="P43" s="374"/>
      <c r="Q43" s="374"/>
      <c r="R43" s="374"/>
      <c r="S43" s="374"/>
    </row>
    <row r="44" spans="1:20">
      <c r="B44" s="853" t="s">
        <v>1530</v>
      </c>
      <c r="G44" s="175">
        <v>40</v>
      </c>
      <c r="H44" s="175">
        <v>40</v>
      </c>
      <c r="I44" s="175">
        <v>40</v>
      </c>
      <c r="J44" s="175">
        <v>40</v>
      </c>
      <c r="K44" s="175">
        <v>40</v>
      </c>
      <c r="L44" s="175">
        <v>40</v>
      </c>
      <c r="M44" s="175">
        <v>40</v>
      </c>
      <c r="N44" s="325"/>
      <c r="O44" s="374"/>
      <c r="P44" s="374"/>
      <c r="Q44" s="374"/>
      <c r="R44" s="374"/>
      <c r="S44" s="374"/>
    </row>
    <row r="45" spans="1:20">
      <c r="B45" s="853" t="s">
        <v>1529</v>
      </c>
      <c r="G45" s="185">
        <f>Thermal!G62</f>
        <v>0.85</v>
      </c>
      <c r="H45" s="185">
        <f>Thermal!H62</f>
        <v>0.85</v>
      </c>
      <c r="I45" s="185">
        <f>Thermal!I62</f>
        <v>0.85</v>
      </c>
      <c r="J45" s="185">
        <f>Thermal!J62</f>
        <v>0.85</v>
      </c>
      <c r="K45" s="185">
        <f>Thermal!K62</f>
        <v>0.85</v>
      </c>
      <c r="L45" s="185">
        <f>Thermal!L62</f>
        <v>0.85</v>
      </c>
      <c r="M45" s="185">
        <f>Thermal!M62</f>
        <v>0.85</v>
      </c>
      <c r="N45" s="170"/>
      <c r="O45" s="185"/>
      <c r="P45" s="325"/>
      <c r="Q45" s="325"/>
      <c r="R45" s="325"/>
      <c r="S45" s="185"/>
    </row>
    <row r="46" spans="1:20">
      <c r="B46" s="853" t="s">
        <v>992</v>
      </c>
      <c r="G46" s="162">
        <f ca="1">Thermal!G63</f>
        <v>510.78746301820172</v>
      </c>
      <c r="H46" s="162">
        <f ca="1">Thermal!H63</f>
        <v>510.78746301820172</v>
      </c>
      <c r="I46" s="162">
        <f ca="1">Thermal!I63</f>
        <v>510.78746301820172</v>
      </c>
      <c r="J46" s="162">
        <f ca="1">Thermal!J63</f>
        <v>510.78746301820172</v>
      </c>
      <c r="K46" s="162">
        <f ca="1">Thermal!K63</f>
        <v>510.78746301820172</v>
      </c>
      <c r="L46" s="162">
        <f ca="1">Thermal!L63</f>
        <v>510.78746301820172</v>
      </c>
      <c r="M46" s="162">
        <f ca="1">Thermal!M63</f>
        <v>510.78746301820172</v>
      </c>
      <c r="N46" s="170"/>
      <c r="O46" s="162"/>
      <c r="P46" s="170"/>
      <c r="Q46" s="170"/>
      <c r="R46" s="170"/>
      <c r="S46" s="162"/>
    </row>
    <row r="47" spans="1:20">
      <c r="B47" s="853" t="s">
        <v>1528</v>
      </c>
      <c r="G47" s="162">
        <f t="shared" ref="G47:M47" ca="1" si="25">G43+(G44-G43)*G38/G42</f>
        <v>38.071883002239929</v>
      </c>
      <c r="H47" s="162">
        <f t="shared" ca="1" si="25"/>
        <v>38.071883002239929</v>
      </c>
      <c r="I47" s="162">
        <f t="shared" ca="1" si="25"/>
        <v>38.071883002239929</v>
      </c>
      <c r="J47" s="162">
        <f t="shared" ca="1" si="25"/>
        <v>38.071883002239929</v>
      </c>
      <c r="K47" s="162">
        <f t="shared" ca="1" si="25"/>
        <v>38.071883002239929</v>
      </c>
      <c r="L47" s="162">
        <f t="shared" ca="1" si="25"/>
        <v>38.071883002239929</v>
      </c>
      <c r="M47" s="162">
        <f t="shared" ca="1" si="25"/>
        <v>38.071883002239929</v>
      </c>
      <c r="N47" s="402"/>
      <c r="O47" s="162"/>
      <c r="P47" s="170"/>
      <c r="Q47" s="170"/>
      <c r="R47" s="170"/>
      <c r="S47" s="162"/>
    </row>
    <row r="48" spans="1:20" ht="14">
      <c r="A48" s="211" t="s">
        <v>991</v>
      </c>
      <c r="B48" s="853" t="s">
        <v>1527</v>
      </c>
      <c r="G48" s="162">
        <f t="shared" ref="G48:M48" ca="1" si="26">G43+(G44-G43)*G39/G42</f>
        <v>42.878525294373247</v>
      </c>
      <c r="H48" s="162">
        <f t="shared" ca="1" si="26"/>
        <v>42.878525294373247</v>
      </c>
      <c r="I48" s="162">
        <f t="shared" ca="1" si="26"/>
        <v>42.878525294373247</v>
      </c>
      <c r="J48" s="162">
        <f t="shared" ca="1" si="26"/>
        <v>42.878525294373247</v>
      </c>
      <c r="K48" s="162">
        <f t="shared" ca="1" si="26"/>
        <v>42.878525294373247</v>
      </c>
      <c r="L48" s="162">
        <f t="shared" ca="1" si="26"/>
        <v>42.878525294373247</v>
      </c>
      <c r="M48" s="162">
        <f t="shared" ca="1" si="26"/>
        <v>42.878525294373247</v>
      </c>
      <c r="N48" s="401"/>
      <c r="O48" s="162"/>
      <c r="P48" s="162"/>
      <c r="Q48" s="162"/>
      <c r="R48" s="170"/>
      <c r="S48" s="162"/>
    </row>
    <row r="49" spans="1:20">
      <c r="B49" s="853" t="s">
        <v>1159</v>
      </c>
      <c r="G49" s="165">
        <f>'Battery Design'!G56</f>
        <v>1</v>
      </c>
      <c r="H49" s="165">
        <f>'Battery Design'!H56</f>
        <v>1</v>
      </c>
      <c r="I49" s="165">
        <f>'Battery Design'!I56</f>
        <v>1</v>
      </c>
      <c r="J49" s="165">
        <f>'Battery Design'!J56</f>
        <v>1</v>
      </c>
      <c r="K49" s="165">
        <f>'Battery Design'!K56</f>
        <v>1</v>
      </c>
      <c r="L49" s="165">
        <f>'Battery Design'!L56</f>
        <v>1</v>
      </c>
      <c r="M49" s="165">
        <f>'Battery Design'!M56</f>
        <v>1</v>
      </c>
      <c r="N49" s="401"/>
      <c r="O49" s="162"/>
      <c r="P49" s="162"/>
      <c r="Q49" s="162"/>
      <c r="R49" s="170"/>
      <c r="S49" s="162"/>
    </row>
    <row r="50" spans="1:20" ht="14">
      <c r="A50" s="211" t="s">
        <v>991</v>
      </c>
      <c r="B50" s="255" t="s">
        <v>710</v>
      </c>
      <c r="C50" s="255"/>
      <c r="D50" s="255"/>
      <c r="E50" s="255"/>
      <c r="F50" s="255"/>
      <c r="G50" s="327">
        <f t="shared" ref="G50:M50" ca="1" si="27">MIN(G17:G18)*(G8+MIN(G17:G18)*G13)/1000*G49</f>
        <v>105.06954927495141</v>
      </c>
      <c r="H50" s="327">
        <f t="shared" ca="1" si="27"/>
        <v>105.06954927495141</v>
      </c>
      <c r="I50" s="327">
        <f t="shared" ca="1" si="27"/>
        <v>105.06954927495141</v>
      </c>
      <c r="J50" s="327">
        <f t="shared" ca="1" si="27"/>
        <v>105.06954927495141</v>
      </c>
      <c r="K50" s="327">
        <f t="shared" ca="1" si="27"/>
        <v>105.06954927495141</v>
      </c>
      <c r="L50" s="327">
        <f t="shared" ca="1" si="27"/>
        <v>105.06954927495141</v>
      </c>
      <c r="M50" s="327">
        <f t="shared" ca="1" si="27"/>
        <v>105.06954927495141</v>
      </c>
      <c r="N50" s="402"/>
      <c r="O50" s="380"/>
      <c r="P50" s="327"/>
      <c r="Q50" s="327"/>
      <c r="R50" s="327"/>
      <c r="S50" s="327"/>
    </row>
    <row r="51" spans="1:20">
      <c r="B51" s="255" t="s">
        <v>1160</v>
      </c>
      <c r="C51" s="255"/>
      <c r="D51" s="255"/>
      <c r="N51" s="348"/>
      <c r="O51" s="1106"/>
      <c r="P51" s="171"/>
      <c r="Q51" s="171"/>
      <c r="R51" s="171"/>
    </row>
    <row r="52" spans="1:20">
      <c r="B52" s="853" t="s">
        <v>1156</v>
      </c>
      <c r="G52" s="360" t="str">
        <f>IF($F10=0,"NA",'Summary of Results'!G100)</f>
        <v>NA</v>
      </c>
      <c r="H52" s="360" t="str">
        <f>IF($F10=0,"NA",'Summary of Results'!H100)</f>
        <v>NA</v>
      </c>
      <c r="I52" s="360" t="str">
        <f>IF($F10=0,"NA",'Summary of Results'!I100)</f>
        <v>NA</v>
      </c>
      <c r="J52" s="360" t="str">
        <f>IF($F10=0,"NA",'Summary of Results'!J100)</f>
        <v>NA</v>
      </c>
      <c r="K52" s="360" t="str">
        <f>IF($F10=0,"NA",'Summary of Results'!K100)</f>
        <v>NA</v>
      </c>
      <c r="L52" s="360" t="str">
        <f>IF($F10=0,"NA",'Summary of Results'!L100)</f>
        <v>NA</v>
      </c>
      <c r="M52" s="360" t="str">
        <f>IF($F10=0,"NA",'Summary of Results'!M100)</f>
        <v>NA</v>
      </c>
      <c r="N52" s="355"/>
      <c r="O52" s="1106"/>
      <c r="P52" s="403"/>
      <c r="Q52" s="403"/>
      <c r="R52" s="403"/>
      <c r="S52" s="284"/>
      <c r="T52" s="284"/>
    </row>
    <row r="53" spans="1:20">
      <c r="B53" s="853" t="s">
        <v>1157</v>
      </c>
      <c r="G53" s="360">
        <f ca="1">IF($F10=0,'Summary of Results'!G100,G54)</f>
        <v>26904.193195629876</v>
      </c>
      <c r="H53" s="360">
        <f ca="1">IF($F10=0,'Summary of Results'!H100,H54)</f>
        <v>18382.624047093741</v>
      </c>
      <c r="I53" s="360">
        <f ca="1">IF($F10=0,'Summary of Results'!I100,I54)</f>
        <v>17784.804550803652</v>
      </c>
      <c r="J53" s="360">
        <f ca="1">IF($F10=0,'Summary of Results'!J100,J54)</f>
        <v>17406.415734650443</v>
      </c>
      <c r="K53" s="360">
        <f ca="1">IF($F10=0,'Summary of Results'!K100,K54)</f>
        <v>17136.087098513712</v>
      </c>
      <c r="L53" s="360">
        <f ca="1">IF($F10=0,'Summary of Results'!L100,L54)</f>
        <v>16690.918831208743</v>
      </c>
      <c r="M53" s="360">
        <f ca="1">IF($F10=0,'Summary of Results'!M100,M54)</f>
        <v>16407.117072807363</v>
      </c>
      <c r="N53" s="404"/>
      <c r="O53" s="1106"/>
      <c r="P53" s="403"/>
      <c r="Q53" s="403"/>
      <c r="R53" s="403"/>
      <c r="S53" s="353"/>
      <c r="T53" s="353"/>
    </row>
    <row r="54" spans="1:20">
      <c r="B54" s="853" t="s">
        <v>1158</v>
      </c>
      <c r="G54" s="360">
        <f ca="1">G53</f>
        <v>26904.193195629876</v>
      </c>
      <c r="H54" s="360">
        <f t="shared" ref="H54:M54" ca="1" si="28">H53</f>
        <v>18382.624047093741</v>
      </c>
      <c r="I54" s="360">
        <f t="shared" ca="1" si="28"/>
        <v>17784.804550803652</v>
      </c>
      <c r="J54" s="360">
        <f t="shared" ca="1" si="28"/>
        <v>17406.415734650443</v>
      </c>
      <c r="K54" s="360">
        <f t="shared" ca="1" si="28"/>
        <v>17136.087098513712</v>
      </c>
      <c r="L54" s="360">
        <f t="shared" ca="1" si="28"/>
        <v>16690.918831208743</v>
      </c>
      <c r="M54" s="360">
        <f t="shared" ca="1" si="28"/>
        <v>16407.117072807363</v>
      </c>
      <c r="N54" s="404"/>
      <c r="O54" s="1106"/>
      <c r="P54" s="403"/>
      <c r="Q54" s="403"/>
      <c r="R54" s="403"/>
      <c r="S54" s="260"/>
      <c r="T54" s="260"/>
    </row>
    <row r="55" spans="1:20" ht="12.75" customHeight="1">
      <c r="A55" s="211" t="s">
        <v>991</v>
      </c>
      <c r="B55" s="354" t="s">
        <v>667</v>
      </c>
      <c r="C55" s="349"/>
      <c r="D55" s="349"/>
      <c r="E55" s="361"/>
      <c r="F55" s="349"/>
      <c r="G55" s="353" t="str">
        <f>IF($F10=0,"NA",G52-G53)</f>
        <v>NA</v>
      </c>
      <c r="H55" s="353" t="str">
        <f t="shared" ref="H55:M55" si="29">IF($F10=0,"NA",H52-H53)</f>
        <v>NA</v>
      </c>
      <c r="I55" s="353" t="str">
        <f t="shared" si="29"/>
        <v>NA</v>
      </c>
      <c r="J55" s="353" t="str">
        <f t="shared" si="29"/>
        <v>NA</v>
      </c>
      <c r="K55" s="353" t="str">
        <f t="shared" si="29"/>
        <v>NA</v>
      </c>
      <c r="L55" s="353" t="str">
        <f t="shared" si="29"/>
        <v>NA</v>
      </c>
      <c r="M55" s="353" t="str">
        <f t="shared" si="29"/>
        <v>NA</v>
      </c>
      <c r="N55" s="404" t="s">
        <v>1020</v>
      </c>
      <c r="O55" s="361"/>
      <c r="P55" s="327"/>
      <c r="Q55" s="327"/>
      <c r="R55" s="327"/>
      <c r="S55" s="283"/>
      <c r="T55" s="283"/>
    </row>
    <row r="56" spans="1:20">
      <c r="B56" s="406"/>
      <c r="C56" s="406"/>
      <c r="D56" s="406"/>
      <c r="E56" s="406"/>
      <c r="F56" s="406"/>
      <c r="G56" s="406"/>
      <c r="H56" s="406"/>
      <c r="I56" s="406"/>
      <c r="J56" s="406"/>
      <c r="K56" s="406"/>
      <c r="L56" s="406"/>
      <c r="M56" s="406"/>
    </row>
    <row r="57" spans="1:20">
      <c r="F57" s="407"/>
      <c r="G57" s="76"/>
      <c r="H57" s="76"/>
      <c r="I57" s="76"/>
      <c r="J57" s="76"/>
    </row>
    <row r="58" spans="1:20">
      <c r="E58" s="1057"/>
      <c r="F58" s="363"/>
      <c r="G58" s="98"/>
      <c r="H58" s="98"/>
      <c r="I58" s="98"/>
      <c r="J58" s="98"/>
      <c r="L58" s="1069"/>
      <c r="M58" s="1069"/>
      <c r="N58" s="1069"/>
      <c r="O58" s="1069"/>
    </row>
    <row r="59" spans="1:20">
      <c r="F59" s="363"/>
      <c r="G59" s="98"/>
      <c r="H59" s="98"/>
      <c r="I59" s="98"/>
      <c r="J59" s="98"/>
      <c r="L59" s="1069"/>
      <c r="M59" s="1069"/>
      <c r="N59" s="1069"/>
      <c r="O59" s="1069"/>
    </row>
    <row r="60" spans="1:20">
      <c r="F60" s="363"/>
      <c r="G60" s="98"/>
      <c r="H60" s="98"/>
      <c r="I60" s="98"/>
      <c r="J60" s="98"/>
      <c r="L60" s="1069"/>
      <c r="M60" s="1069"/>
      <c r="N60" s="1069"/>
      <c r="O60" s="1069"/>
    </row>
    <row r="62" spans="1:20">
      <c r="E62" s="1057"/>
      <c r="F62" s="363"/>
      <c r="G62" s="98"/>
      <c r="H62" s="98"/>
      <c r="I62" s="98"/>
      <c r="J62" s="98"/>
      <c r="L62" s="1069"/>
      <c r="M62" s="1069"/>
      <c r="N62" s="1069"/>
      <c r="O62" s="1069"/>
    </row>
    <row r="63" spans="1:20">
      <c r="F63" s="363"/>
      <c r="G63" s="98"/>
      <c r="H63" s="98"/>
      <c r="I63" s="98"/>
      <c r="J63" s="98"/>
      <c r="L63" s="1069"/>
      <c r="M63" s="1069"/>
      <c r="N63" s="1069"/>
      <c r="O63" s="1069"/>
    </row>
    <row r="64" spans="1:20">
      <c r="F64" s="363"/>
      <c r="G64" s="98"/>
      <c r="H64" s="98"/>
      <c r="I64" s="98"/>
      <c r="J64" s="98"/>
      <c r="L64" s="1069"/>
      <c r="M64" s="1069"/>
      <c r="N64" s="1069"/>
      <c r="O64" s="1069"/>
    </row>
  </sheetData>
  <mergeCells count="2">
    <mergeCell ref="B1:M1"/>
    <mergeCell ref="B2:M2"/>
  </mergeCells>
  <pageMargins left="0.7" right="0.7" top="0.75" bottom="0.75" header="0.3" footer="0.3"/>
  <pageSetup scale="70"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indexed="44"/>
  </sheetPr>
  <dimension ref="A1:AF755"/>
  <sheetViews>
    <sheetView zoomScale="110" zoomScaleNormal="110" workbookViewId="0">
      <pane ySplit="3" topLeftCell="A4" activePane="bottomLeft" state="frozen"/>
      <selection pane="bottomLeft" activeCell="M45" sqref="M45:M46"/>
    </sheetView>
  </sheetViews>
  <sheetFormatPr baseColWidth="10" defaultColWidth="9.1640625" defaultRowHeight="14"/>
  <cols>
    <col min="1" max="1" width="3.5" style="1109" customWidth="1"/>
    <col min="2" max="2" width="49.33203125" style="853" customWidth="1"/>
    <col min="3" max="3" width="12.5" style="853" customWidth="1"/>
    <col min="4" max="5" width="1.83203125" style="853" customWidth="1"/>
    <col min="6" max="6" width="24.33203125" style="853" customWidth="1"/>
    <col min="7" max="15" width="10.6640625" style="853" customWidth="1"/>
    <col min="16" max="31" width="9.1640625" style="853"/>
    <col min="32" max="32" width="16.83203125" style="853" customWidth="1"/>
    <col min="33" max="16384" width="9.1640625" style="853"/>
  </cols>
  <sheetData>
    <row r="1" spans="1:15" ht="15.75" customHeight="1">
      <c r="B1" s="1277" t="s">
        <v>140</v>
      </c>
      <c r="C1" s="1277"/>
      <c r="D1" s="1277"/>
      <c r="E1" s="1277"/>
      <c r="F1" s="1277"/>
      <c r="G1" s="1277"/>
      <c r="H1" s="1277"/>
      <c r="I1" s="1277"/>
      <c r="J1" s="1277"/>
      <c r="K1" s="1277"/>
      <c r="L1" s="1277"/>
      <c r="M1" s="1277"/>
    </row>
    <row r="2" spans="1:15" ht="15.75" customHeight="1">
      <c r="B2" s="1278" t="str">
        <f>Chem!C5</f>
        <v>LiFePO4 / Graphite</v>
      </c>
      <c r="C2" s="1278"/>
      <c r="D2" s="1278"/>
      <c r="E2" s="1278"/>
      <c r="F2" s="1278"/>
      <c r="G2" s="1278"/>
      <c r="H2" s="1278"/>
      <c r="I2" s="1278"/>
      <c r="J2" s="1278"/>
      <c r="K2" s="1278"/>
      <c r="L2" s="1278"/>
      <c r="M2" s="1278"/>
    </row>
    <row r="3" spans="1:15" ht="13">
      <c r="A3" s="1124" t="s">
        <v>1463</v>
      </c>
      <c r="B3" s="38"/>
      <c r="C3" s="38"/>
      <c r="D3" s="38"/>
      <c r="E3" s="38"/>
      <c r="F3" s="38"/>
      <c r="G3" s="883" t="s">
        <v>0</v>
      </c>
      <c r="H3" s="883" t="s">
        <v>1</v>
      </c>
      <c r="I3" s="883" t="s">
        <v>2</v>
      </c>
      <c r="J3" s="883" t="s">
        <v>3</v>
      </c>
      <c r="K3" s="883" t="s">
        <v>4</v>
      </c>
      <c r="L3" s="883" t="s">
        <v>530</v>
      </c>
      <c r="M3" s="883" t="s">
        <v>531</v>
      </c>
    </row>
    <row r="4" spans="1:15" ht="13">
      <c r="A4" s="255"/>
      <c r="B4" s="255" t="s">
        <v>951</v>
      </c>
      <c r="G4" s="324"/>
      <c r="H4" s="324"/>
      <c r="I4" s="324"/>
      <c r="J4" s="324"/>
      <c r="K4" s="375"/>
      <c r="L4" s="375"/>
      <c r="M4" s="375"/>
    </row>
    <row r="5" spans="1:15" ht="13">
      <c r="A5" s="255"/>
      <c r="B5" s="1110" t="s">
        <v>156</v>
      </c>
      <c r="C5" s="1110"/>
      <c r="D5" s="1110"/>
      <c r="E5" s="1110"/>
      <c r="F5" s="1110"/>
      <c r="G5" s="1132">
        <f ca="1">'Battery Design'!G193</f>
        <v>339.99999999999983</v>
      </c>
      <c r="H5" s="1132">
        <f ca="1">'Battery Design'!H193</f>
        <v>339.99999999999983</v>
      </c>
      <c r="I5" s="1132">
        <f ca="1">'Battery Design'!I193</f>
        <v>339.99999999999983</v>
      </c>
      <c r="J5" s="1132">
        <f ca="1">'Battery Design'!J193</f>
        <v>339.99999999999983</v>
      </c>
      <c r="K5" s="1132">
        <f ca="1">'Battery Design'!K193</f>
        <v>339.99999999999983</v>
      </c>
      <c r="L5" s="1132">
        <f ca="1">'Battery Design'!L193</f>
        <v>339.99999999999983</v>
      </c>
      <c r="M5" s="1132">
        <f ca="1">'Battery Design'!M193</f>
        <v>339.99999999999983</v>
      </c>
    </row>
    <row r="6" spans="1:15" ht="13">
      <c r="A6" s="255"/>
      <c r="B6" s="1110" t="s">
        <v>462</v>
      </c>
      <c r="C6" s="1110"/>
      <c r="D6" s="1110"/>
      <c r="E6" s="1110"/>
      <c r="F6" s="1110"/>
      <c r="G6" s="1133">
        <f>'Battery Design'!G56</f>
        <v>1</v>
      </c>
      <c r="H6" s="1133">
        <f>'Battery Design'!H56</f>
        <v>1</v>
      </c>
      <c r="I6" s="1133">
        <f>'Battery Design'!I56</f>
        <v>1</v>
      </c>
      <c r="J6" s="1133">
        <f>'Battery Design'!J56</f>
        <v>1</v>
      </c>
      <c r="K6" s="1133">
        <f>'Battery Design'!K56</f>
        <v>1</v>
      </c>
      <c r="L6" s="1133">
        <f>'Battery Design'!L56</f>
        <v>1</v>
      </c>
      <c r="M6" s="1133">
        <f>'Battery Design'!M56</f>
        <v>1</v>
      </c>
    </row>
    <row r="7" spans="1:15" ht="13">
      <c r="A7" s="255"/>
      <c r="B7" s="1110" t="s">
        <v>466</v>
      </c>
      <c r="C7" s="1110"/>
      <c r="D7" s="1110"/>
      <c r="E7" s="1110"/>
      <c r="F7" s="1110"/>
      <c r="G7" s="1134" t="str">
        <f>IF(G6=1," ",IF('Battery Design'!G57="P","parallel",IF('Battery Design'!G57="S","series"," ")))</f>
        <v xml:space="preserve"> </v>
      </c>
      <c r="H7" s="1134" t="str">
        <f>IF(H6=1," ",IF('Battery Design'!H57="P","parallel",IF('Battery Design'!H57="S","series"," ")))</f>
        <v xml:space="preserve"> </v>
      </c>
      <c r="I7" s="1134" t="str">
        <f>IF(I6=1," ",IF('Battery Design'!I57="P","parallel",IF('Battery Design'!I57="S","series"," ")))</f>
        <v xml:space="preserve"> </v>
      </c>
      <c r="J7" s="1134" t="str">
        <f>IF(J6=1," ",IF('Battery Design'!J57="P","parallel",IF('Battery Design'!J57="S","series"," ")))</f>
        <v xml:space="preserve"> </v>
      </c>
      <c r="K7" s="1134" t="str">
        <f>IF(K6=1," ",IF('Battery Design'!K57="P","parallel",IF('Battery Design'!K57="S","series"," ")))</f>
        <v xml:space="preserve"> </v>
      </c>
      <c r="L7" s="1134" t="str">
        <f>IF(L6=1," ",IF('Battery Design'!L57="P","parallel",IF('Battery Design'!L57="S","series"," ")))</f>
        <v xml:space="preserve"> </v>
      </c>
      <c r="M7" s="1134" t="str">
        <f>IF(M6=1," ",IF('Battery Design'!M57="P","parallel",IF('Battery Design'!M57="S","series"," ")))</f>
        <v xml:space="preserve"> </v>
      </c>
    </row>
    <row r="8" spans="1:15" ht="13">
      <c r="A8" s="255">
        <v>11</v>
      </c>
      <c r="B8" s="1110" t="s">
        <v>492</v>
      </c>
      <c r="C8" s="1110"/>
      <c r="D8" s="1110"/>
      <c r="E8" s="1110"/>
      <c r="F8" s="1110"/>
      <c r="G8" s="1133">
        <f>'Battery Design'!G74</f>
        <v>400</v>
      </c>
      <c r="H8" s="1133">
        <f>'Battery Design'!H74</f>
        <v>400</v>
      </c>
      <c r="I8" s="1133">
        <f>'Battery Design'!I74</f>
        <v>400</v>
      </c>
      <c r="J8" s="1133">
        <f>'Battery Design'!J74</f>
        <v>400</v>
      </c>
      <c r="K8" s="1133">
        <f>'Battery Design'!K74</f>
        <v>400</v>
      </c>
      <c r="L8" s="1133">
        <f>'Battery Design'!L74</f>
        <v>400</v>
      </c>
      <c r="M8" s="1133">
        <f>'Battery Design'!M74</f>
        <v>400</v>
      </c>
    </row>
    <row r="9" spans="1:15" ht="13">
      <c r="A9" s="255">
        <v>1</v>
      </c>
      <c r="B9" s="1110" t="s">
        <v>463</v>
      </c>
      <c r="C9" s="1110"/>
      <c r="D9" s="1110"/>
      <c r="E9" s="1110"/>
      <c r="F9" s="1110"/>
      <c r="G9" s="1132">
        <f ca="1">'Battery Design'!G147*G6</f>
        <v>99.999999999999957</v>
      </c>
      <c r="H9" s="1132">
        <f ca="1">'Battery Design'!H147*H6</f>
        <v>99.999999999999957</v>
      </c>
      <c r="I9" s="1132">
        <f ca="1">'Battery Design'!I147*I6</f>
        <v>99.999999999999957</v>
      </c>
      <c r="J9" s="1132">
        <f ca="1">'Battery Design'!J147*J6</f>
        <v>99.999999999999957</v>
      </c>
      <c r="K9" s="1132">
        <f ca="1">'Battery Design'!K147*K6</f>
        <v>99.999999999999957</v>
      </c>
      <c r="L9" s="1132">
        <f ca="1">'Battery Design'!L147*L6</f>
        <v>99.999999999999957</v>
      </c>
      <c r="M9" s="1132">
        <f ca="1">'Battery Design'!M147*M6</f>
        <v>99.999999999999957</v>
      </c>
    </row>
    <row r="10" spans="1:15" ht="13">
      <c r="A10" s="255"/>
      <c r="B10" s="1110" t="s">
        <v>472</v>
      </c>
      <c r="C10" s="1110"/>
      <c r="D10" s="1110"/>
      <c r="E10" s="1110"/>
      <c r="F10" s="1110"/>
      <c r="G10" s="1132">
        <f t="shared" ref="G10:M10" ca="1" si="0">IF(G7="parallel",G6*G25,G25)</f>
        <v>309.40234438966644</v>
      </c>
      <c r="H10" s="1132">
        <f t="shared" ca="1" si="0"/>
        <v>309.40234438966644</v>
      </c>
      <c r="I10" s="1132">
        <f t="shared" ca="1" si="0"/>
        <v>309.40234438966644</v>
      </c>
      <c r="J10" s="1132">
        <f t="shared" ca="1" si="0"/>
        <v>309.40234438966644</v>
      </c>
      <c r="K10" s="1132">
        <f t="shared" ca="1" si="0"/>
        <v>309.40234438966644</v>
      </c>
      <c r="L10" s="1132">
        <f t="shared" ca="1" si="0"/>
        <v>309.40234438966644</v>
      </c>
      <c r="M10" s="1132">
        <f t="shared" ca="1" si="0"/>
        <v>309.40234438966644</v>
      </c>
      <c r="O10" s="168"/>
    </row>
    <row r="11" spans="1:15" ht="13">
      <c r="A11" s="255">
        <v>12</v>
      </c>
      <c r="B11" s="1110" t="s">
        <v>1046</v>
      </c>
      <c r="C11" s="1110"/>
      <c r="D11" s="1110"/>
      <c r="E11" s="1110"/>
      <c r="F11" s="1110"/>
      <c r="G11" s="1133">
        <f>'Battery Design'!G150*IF('Battery Design'!G57="S",'Battery Design'!G56,1)</f>
        <v>328.2</v>
      </c>
      <c r="H11" s="1133">
        <f>'Battery Design'!H150*IF('Battery Design'!H57="S",'Battery Design'!H56,1)</f>
        <v>328.2</v>
      </c>
      <c r="I11" s="1133">
        <f>'Battery Design'!I150*IF('Battery Design'!I57="S",'Battery Design'!I56,1)</f>
        <v>328.2</v>
      </c>
      <c r="J11" s="1133">
        <f>'Battery Design'!J150*IF('Battery Design'!J57="S",'Battery Design'!J56,1)</f>
        <v>328.2</v>
      </c>
      <c r="K11" s="1133">
        <f>'Battery Design'!K150*IF('Battery Design'!K57="S",'Battery Design'!K56,1)</f>
        <v>328.2</v>
      </c>
      <c r="L11" s="1133">
        <f>'Battery Design'!L150*IF('Battery Design'!L57="S",'Battery Design'!L56,1)</f>
        <v>328.2</v>
      </c>
      <c r="M11" s="1133">
        <f>'Battery Design'!M150*IF('Battery Design'!M57="S",'Battery Design'!M56,1)</f>
        <v>328.2</v>
      </c>
    </row>
    <row r="12" spans="1:15" ht="13">
      <c r="A12" s="255"/>
      <c r="B12" s="1110" t="s">
        <v>464</v>
      </c>
      <c r="C12" s="1110"/>
      <c r="D12" s="1110"/>
      <c r="E12" s="1110"/>
      <c r="F12" s="1110"/>
      <c r="G12" s="1132">
        <f ca="1">'Battery Design'!G151*G6</f>
        <v>406.23900856291681</v>
      </c>
      <c r="H12" s="1132">
        <f ca="1">'Battery Design'!H151*H6</f>
        <v>406.23900856291681</v>
      </c>
      <c r="I12" s="1132">
        <f ca="1">'Battery Design'!I151*I6</f>
        <v>406.23900856291681</v>
      </c>
      <c r="J12" s="1132">
        <f ca="1">'Battery Design'!J151*J6</f>
        <v>406.23900856291681</v>
      </c>
      <c r="K12" s="1132">
        <f ca="1">'Battery Design'!K151*K6</f>
        <v>406.23900856291681</v>
      </c>
      <c r="L12" s="1132">
        <f ca="1">'Battery Design'!L151*L6</f>
        <v>406.23900856291681</v>
      </c>
      <c r="M12" s="1132">
        <f ca="1">'Battery Design'!M151*M6</f>
        <v>406.23900856291681</v>
      </c>
    </row>
    <row r="13" spans="1:15" ht="13">
      <c r="A13" s="255">
        <v>2</v>
      </c>
      <c r="B13" s="1110" t="s">
        <v>465</v>
      </c>
      <c r="C13" s="1110"/>
      <c r="D13" s="1110"/>
      <c r="E13" s="1110"/>
      <c r="F13" s="1110"/>
      <c r="G13" s="1132">
        <f>'Battery Design'!G65*G6</f>
        <v>200</v>
      </c>
      <c r="H13" s="1132">
        <f>'Battery Design'!H65*H6</f>
        <v>200</v>
      </c>
      <c r="I13" s="1132">
        <f>'Battery Design'!I65*I6</f>
        <v>200</v>
      </c>
      <c r="J13" s="1132">
        <f>'Battery Design'!J65*J6</f>
        <v>200</v>
      </c>
      <c r="K13" s="1132">
        <f>'Battery Design'!K65*K6</f>
        <v>200</v>
      </c>
      <c r="L13" s="1132">
        <f>'Battery Design'!L65*L6</f>
        <v>200</v>
      </c>
      <c r="M13" s="1132">
        <f>'Battery Design'!M65*M6</f>
        <v>200</v>
      </c>
    </row>
    <row r="14" spans="1:15" ht="13">
      <c r="A14" s="255"/>
      <c r="B14" s="1135" t="s">
        <v>147</v>
      </c>
      <c r="C14" s="1110"/>
      <c r="D14" s="1110"/>
      <c r="E14" s="1110"/>
      <c r="F14" s="1110"/>
      <c r="G14" s="1132">
        <f>'Battery Design'!G52</f>
        <v>80</v>
      </c>
      <c r="H14" s="1132">
        <f>'Battery Design'!H52</f>
        <v>80</v>
      </c>
      <c r="I14" s="1132">
        <f>'Battery Design'!I52</f>
        <v>80</v>
      </c>
      <c r="J14" s="1132">
        <f>'Battery Design'!J52</f>
        <v>80</v>
      </c>
      <c r="K14" s="1132">
        <f>'Battery Design'!K52</f>
        <v>80</v>
      </c>
      <c r="L14" s="1132">
        <f>'Battery Design'!L52</f>
        <v>80</v>
      </c>
      <c r="M14" s="1132">
        <f>'Battery Design'!M52</f>
        <v>80</v>
      </c>
    </row>
    <row r="15" spans="1:15" ht="13">
      <c r="A15" s="255"/>
      <c r="B15" s="1110" t="s">
        <v>149</v>
      </c>
      <c r="C15" s="1110"/>
      <c r="D15" s="1110"/>
      <c r="E15" s="1110"/>
      <c r="F15" s="1110"/>
      <c r="G15" s="1132">
        <f ca="1">'Battery Design'!G53</f>
        <v>91.379782261993427</v>
      </c>
      <c r="H15" s="1132">
        <f ca="1">'Battery Design'!H53</f>
        <v>91.379782261993427</v>
      </c>
      <c r="I15" s="1132">
        <f ca="1">'Battery Design'!I53</f>
        <v>91.379782261993427</v>
      </c>
      <c r="J15" s="1132">
        <f ca="1">'Battery Design'!J53</f>
        <v>91.379782261993427</v>
      </c>
      <c r="K15" s="1132">
        <f ca="1">'Battery Design'!K53</f>
        <v>91.379782261993427</v>
      </c>
      <c r="L15" s="1132">
        <f ca="1">'Battery Design'!L53</f>
        <v>91.379782261993427</v>
      </c>
      <c r="M15" s="1132">
        <f ca="1">'Battery Design'!M53</f>
        <v>91.379782261993427</v>
      </c>
    </row>
    <row r="16" spans="1:15" ht="13">
      <c r="A16" s="255"/>
      <c r="B16" s="853" t="s">
        <v>1514</v>
      </c>
      <c r="C16" s="1110"/>
      <c r="D16" s="1110"/>
      <c r="E16" s="1110"/>
      <c r="F16" s="1110"/>
      <c r="G16" s="1132">
        <f ca="1">'USABC Data'!F44</f>
        <v>293.46291258075502</v>
      </c>
      <c r="H16" s="1132">
        <f ca="1">'USABC Data'!G44</f>
        <v>293.46291258075502</v>
      </c>
      <c r="I16" s="1132">
        <f ca="1">'USABC Data'!H44</f>
        <v>293.46291258075502</v>
      </c>
      <c r="J16" s="1132">
        <f ca="1">'USABC Data'!I44</f>
        <v>293.46291258075502</v>
      </c>
      <c r="K16" s="1132">
        <f ca="1">'USABC Data'!J44</f>
        <v>293.46291258075502</v>
      </c>
      <c r="L16" s="1132">
        <f ca="1">'USABC Data'!K44</f>
        <v>293.46291258075502</v>
      </c>
      <c r="M16" s="1132">
        <f ca="1">'USABC Data'!L44</f>
        <v>293.46291258075502</v>
      </c>
    </row>
    <row r="17" spans="1:15" ht="13">
      <c r="A17" s="255"/>
      <c r="B17" s="853" t="s">
        <v>1515</v>
      </c>
      <c r="C17" s="1110"/>
      <c r="D17" s="1110"/>
      <c r="E17" s="1110"/>
      <c r="F17" s="1110"/>
      <c r="G17" s="1132">
        <f ca="1">'USABC Data'!F29</f>
        <v>551.79122628184587</v>
      </c>
      <c r="H17" s="1132">
        <f ca="1">'USABC Data'!G29</f>
        <v>551.79122628184587</v>
      </c>
      <c r="I17" s="1132">
        <f ca="1">'USABC Data'!H29</f>
        <v>551.79122628184587</v>
      </c>
      <c r="J17" s="1132">
        <f ca="1">'USABC Data'!I29</f>
        <v>551.79122628184587</v>
      </c>
      <c r="K17" s="1132">
        <f ca="1">'USABC Data'!J29</f>
        <v>551.79122628184587</v>
      </c>
      <c r="L17" s="1132">
        <f ca="1">'USABC Data'!K29</f>
        <v>551.79122628184587</v>
      </c>
      <c r="M17" s="1132">
        <f ca="1">'USABC Data'!L29</f>
        <v>551.79122628184587</v>
      </c>
    </row>
    <row r="18" spans="1:15" ht="13">
      <c r="A18" s="255"/>
      <c r="B18" s="1110" t="s">
        <v>323</v>
      </c>
      <c r="C18" s="1110"/>
      <c r="D18" s="1110"/>
      <c r="E18" s="1110"/>
      <c r="F18" s="1110"/>
      <c r="G18" s="1133">
        <f ca="1">Thermal!G39</f>
        <v>251.32099900724103</v>
      </c>
      <c r="H18" s="1133">
        <f ca="1">Thermal!H39</f>
        <v>251.32099900724103</v>
      </c>
      <c r="I18" s="1133">
        <f ca="1">Thermal!I39</f>
        <v>251.32099900724103</v>
      </c>
      <c r="J18" s="1133">
        <f ca="1">Thermal!J39</f>
        <v>251.32099900724103</v>
      </c>
      <c r="K18" s="1133">
        <f ca="1">Thermal!K39</f>
        <v>251.32099900724103</v>
      </c>
      <c r="L18" s="1133">
        <f ca="1">Thermal!L39</f>
        <v>251.32099900724103</v>
      </c>
      <c r="M18" s="1133">
        <f ca="1">Thermal!M39</f>
        <v>251.32099900724103</v>
      </c>
    </row>
    <row r="19" spans="1:15" ht="13">
      <c r="A19" s="255"/>
      <c r="B19" s="1110" t="s">
        <v>1364</v>
      </c>
      <c r="C19" s="1110"/>
      <c r="D19" s="1110"/>
      <c r="E19" s="1110"/>
      <c r="F19" s="1110"/>
      <c r="G19" s="1136">
        <f xml:space="preserve"> 'USABC Data'!F13</f>
        <v>36</v>
      </c>
      <c r="H19" s="1136">
        <f xml:space="preserve"> 'USABC Data'!G13</f>
        <v>36</v>
      </c>
      <c r="I19" s="1136">
        <f xml:space="preserve"> 'USABC Data'!H13</f>
        <v>36</v>
      </c>
      <c r="J19" s="1136">
        <f xml:space="preserve"> 'USABC Data'!I13</f>
        <v>36</v>
      </c>
      <c r="K19" s="1136">
        <f xml:space="preserve"> 'USABC Data'!J13</f>
        <v>36</v>
      </c>
      <c r="L19" s="1136">
        <f xml:space="preserve"> 'USABC Data'!K13</f>
        <v>36</v>
      </c>
      <c r="M19" s="1136">
        <f xml:space="preserve"> 'USABC Data'!L13</f>
        <v>36</v>
      </c>
      <c r="O19" s="1110"/>
    </row>
    <row r="20" spans="1:15" ht="13">
      <c r="A20" s="255">
        <v>4</v>
      </c>
      <c r="B20" s="1110" t="s">
        <v>1365</v>
      </c>
      <c r="C20" s="1110"/>
      <c r="D20" s="1110"/>
      <c r="E20" s="1110"/>
      <c r="F20" s="1110"/>
      <c r="G20" s="1136">
        <f xml:space="preserve"> 'USABC Data'!F14</f>
        <v>56</v>
      </c>
      <c r="H20" s="1136">
        <f xml:space="preserve"> 'USABC Data'!G14</f>
        <v>56</v>
      </c>
      <c r="I20" s="1136">
        <f xml:space="preserve"> 'USABC Data'!H14</f>
        <v>56</v>
      </c>
      <c r="J20" s="1136">
        <f xml:space="preserve"> 'USABC Data'!I14</f>
        <v>56</v>
      </c>
      <c r="K20" s="1136">
        <f xml:space="preserve"> 'USABC Data'!J14</f>
        <v>56</v>
      </c>
      <c r="L20" s="1136">
        <f xml:space="preserve"> 'USABC Data'!K14</f>
        <v>56</v>
      </c>
      <c r="M20" s="1136">
        <f xml:space="preserve"> 'USABC Data'!L14</f>
        <v>56</v>
      </c>
      <c r="O20" s="1110"/>
    </row>
    <row r="21" spans="1:15" ht="13">
      <c r="A21" s="255"/>
      <c r="B21" s="1110" t="s">
        <v>1029</v>
      </c>
      <c r="C21" s="1110"/>
      <c r="D21" s="1110"/>
      <c r="E21" s="1110"/>
      <c r="F21" s="1110"/>
      <c r="G21" s="1110">
        <f>'Battery Design'!G150</f>
        <v>328.2</v>
      </c>
      <c r="H21" s="1110">
        <f>'Battery Design'!H150</f>
        <v>328.2</v>
      </c>
      <c r="I21" s="1110">
        <f>'Battery Design'!I150</f>
        <v>328.2</v>
      </c>
      <c r="J21" s="1110">
        <f>'Battery Design'!J150</f>
        <v>328.2</v>
      </c>
      <c r="K21" s="1110">
        <f>'Battery Design'!K150</f>
        <v>328.2</v>
      </c>
      <c r="L21" s="1110">
        <f>'Battery Design'!L150</f>
        <v>328.2</v>
      </c>
      <c r="M21" s="1110">
        <f>'Battery Design'!M150</f>
        <v>328.2</v>
      </c>
      <c r="O21" s="1110"/>
    </row>
    <row r="22" spans="1:15" ht="13">
      <c r="A22" s="255"/>
      <c r="B22" s="1110" t="s">
        <v>1030</v>
      </c>
      <c r="C22" s="1110"/>
      <c r="D22" s="1110"/>
      <c r="E22" s="1110"/>
      <c r="F22" s="1110"/>
      <c r="G22" s="1110">
        <f>'Battery Design'!G208</f>
        <v>200</v>
      </c>
      <c r="H22" s="1110">
        <f>'Battery Design'!H208</f>
        <v>200</v>
      </c>
      <c r="I22" s="1110">
        <f>'Battery Design'!I208</f>
        <v>200</v>
      </c>
      <c r="J22" s="1110">
        <f>'Battery Design'!J208</f>
        <v>200</v>
      </c>
      <c r="K22" s="1110">
        <f>'Battery Design'!K208</f>
        <v>200</v>
      </c>
      <c r="L22" s="1110">
        <f>'Battery Design'!L208</f>
        <v>200</v>
      </c>
      <c r="M22" s="1110">
        <f>'Battery Design'!M208</f>
        <v>200</v>
      </c>
      <c r="O22" s="1110"/>
    </row>
    <row r="23" spans="1:15" ht="13">
      <c r="A23" s="255"/>
      <c r="B23" s="1110" t="s">
        <v>1031</v>
      </c>
      <c r="C23" s="1110"/>
      <c r="D23" s="1110"/>
      <c r="E23" s="1110"/>
      <c r="F23" s="1110"/>
      <c r="G23" s="1137">
        <f ca="1">'Battery Design'!G209</f>
        <v>99.999999999999957</v>
      </c>
      <c r="H23" s="1137">
        <f ca="1">'Battery Design'!H209</f>
        <v>99.999999999999957</v>
      </c>
      <c r="I23" s="1137">
        <f ca="1">'Battery Design'!I209</f>
        <v>99.999999999999957</v>
      </c>
      <c r="J23" s="1137">
        <f ca="1">'Battery Design'!J209</f>
        <v>99.999999999999957</v>
      </c>
      <c r="K23" s="1137">
        <f ca="1">'Battery Design'!K209</f>
        <v>99.999999999999957</v>
      </c>
      <c r="L23" s="1137">
        <f ca="1">'Battery Design'!L209</f>
        <v>99.999999999999957</v>
      </c>
      <c r="M23" s="1137">
        <f ca="1">'Battery Design'!M209</f>
        <v>99.999999999999957</v>
      </c>
      <c r="O23" s="1110"/>
    </row>
    <row r="24" spans="1:15" ht="15">
      <c r="A24" s="255"/>
      <c r="B24" s="1110" t="s">
        <v>1366</v>
      </c>
      <c r="C24" s="1110"/>
      <c r="D24" s="1110"/>
      <c r="E24" s="1110"/>
      <c r="F24" s="1110"/>
      <c r="G24" s="1138">
        <f ca="1">G23*('Battery Design'!G192/100)</f>
        <v>84.999999999999957</v>
      </c>
      <c r="H24" s="1138">
        <f ca="1">H23*('Battery Design'!H192/100)</f>
        <v>84.999999999999957</v>
      </c>
      <c r="I24" s="1138">
        <f ca="1">I23*('Battery Design'!I192/100)</f>
        <v>84.999999999999957</v>
      </c>
      <c r="J24" s="1138">
        <f ca="1">J23*('Battery Design'!J192/100)</f>
        <v>84.999999999999957</v>
      </c>
      <c r="K24" s="1138">
        <f ca="1">K23*('Battery Design'!K192/100)</f>
        <v>84.999999999999957</v>
      </c>
      <c r="L24" s="1138">
        <f ca="1">L23*('Battery Design'!L192/100)</f>
        <v>84.999999999999957</v>
      </c>
      <c r="M24" s="1138">
        <f ca="1">M23*('Battery Design'!M192/100)</f>
        <v>84.999999999999957</v>
      </c>
      <c r="O24" s="1110"/>
    </row>
    <row r="25" spans="1:15" ht="13">
      <c r="A25" s="255"/>
      <c r="B25" s="1110" t="s">
        <v>1032</v>
      </c>
      <c r="C25" s="1110"/>
      <c r="D25" s="1110"/>
      <c r="E25" s="1110"/>
      <c r="F25" s="1110"/>
      <c r="G25" s="1137">
        <f ca="1">'Battery Design'!G196</f>
        <v>309.40234438966644</v>
      </c>
      <c r="H25" s="1137">
        <f ca="1">'Battery Design'!H196</f>
        <v>309.40234438966644</v>
      </c>
      <c r="I25" s="1137">
        <f ca="1">'Battery Design'!I196</f>
        <v>309.40234438966644</v>
      </c>
      <c r="J25" s="1137">
        <f ca="1">'Battery Design'!J196</f>
        <v>309.40234438966644</v>
      </c>
      <c r="K25" s="1137">
        <f ca="1">'Battery Design'!K196</f>
        <v>309.40234438966644</v>
      </c>
      <c r="L25" s="1137">
        <f ca="1">'Battery Design'!L196</f>
        <v>309.40234438966644</v>
      </c>
      <c r="M25" s="1137">
        <f ca="1">'Battery Design'!M196</f>
        <v>309.40234438966644</v>
      </c>
      <c r="O25" s="1110"/>
    </row>
    <row r="26" spans="1:15" ht="13">
      <c r="A26" s="255">
        <v>14</v>
      </c>
      <c r="B26" s="1110" t="s">
        <v>1033</v>
      </c>
      <c r="C26" s="1110"/>
      <c r="D26" s="1110"/>
      <c r="E26" s="1110"/>
      <c r="F26" s="1110"/>
      <c r="G26" s="1137">
        <f ca="1">'USABC Data'!F27</f>
        <v>544.79122628184587</v>
      </c>
      <c r="H26" s="1137">
        <f ca="1">'USABC Data'!G27</f>
        <v>544.79122628184587</v>
      </c>
      <c r="I26" s="1137">
        <f ca="1">'USABC Data'!H27</f>
        <v>544.79122628184587</v>
      </c>
      <c r="J26" s="1137">
        <f ca="1">'USABC Data'!I27</f>
        <v>544.79122628184587</v>
      </c>
      <c r="K26" s="1137">
        <f ca="1">'USABC Data'!J27</f>
        <v>544.79122628184587</v>
      </c>
      <c r="L26" s="1137">
        <f ca="1">'USABC Data'!K27</f>
        <v>544.79122628184587</v>
      </c>
      <c r="M26" s="1137">
        <f ca="1">'USABC Data'!L27</f>
        <v>544.79122628184587</v>
      </c>
      <c r="O26" s="1110"/>
    </row>
    <row r="27" spans="1:15" ht="13">
      <c r="A27" s="255"/>
      <c r="B27" s="1110" t="s">
        <v>1034</v>
      </c>
      <c r="C27" s="1110"/>
      <c r="D27" s="1110"/>
      <c r="E27" s="1110"/>
      <c r="F27" s="1110"/>
      <c r="G27" s="1137">
        <f t="shared" ref="G27:M27" ca="1" si="1">G23*1000/G26</f>
        <v>183.5565537325032</v>
      </c>
      <c r="H27" s="1137">
        <f t="shared" ca="1" si="1"/>
        <v>183.5565537325032</v>
      </c>
      <c r="I27" s="1137">
        <f t="shared" ca="1" si="1"/>
        <v>183.5565537325032</v>
      </c>
      <c r="J27" s="1137">
        <f t="shared" ca="1" si="1"/>
        <v>183.5565537325032</v>
      </c>
      <c r="K27" s="1137">
        <f t="shared" ca="1" si="1"/>
        <v>183.5565537325032</v>
      </c>
      <c r="L27" s="1137">
        <f t="shared" ca="1" si="1"/>
        <v>183.5565537325032</v>
      </c>
      <c r="M27" s="1137">
        <f t="shared" ca="1" si="1"/>
        <v>183.5565537325032</v>
      </c>
      <c r="O27" s="1110"/>
    </row>
    <row r="28" spans="1:15" ht="13">
      <c r="A28" s="255">
        <v>15</v>
      </c>
      <c r="B28" s="1110" t="s">
        <v>1035</v>
      </c>
      <c r="C28" s="1110"/>
      <c r="D28" s="1110"/>
      <c r="E28" s="1110"/>
      <c r="F28" s="1110"/>
      <c r="G28" s="1137">
        <f ca="1">'USABC Data'!F42</f>
        <v>290.66291258075501</v>
      </c>
      <c r="H28" s="1137">
        <f ca="1">'USABC Data'!G42</f>
        <v>290.66291258075501</v>
      </c>
      <c r="I28" s="1137">
        <f ca="1">'USABC Data'!H42</f>
        <v>290.66291258075501</v>
      </c>
      <c r="J28" s="1137">
        <f ca="1">'USABC Data'!I42</f>
        <v>290.66291258075501</v>
      </c>
      <c r="K28" s="1137">
        <f ca="1">'USABC Data'!J42</f>
        <v>290.66291258075501</v>
      </c>
      <c r="L28" s="1137">
        <f ca="1">'USABC Data'!K42</f>
        <v>290.66291258075501</v>
      </c>
      <c r="M28" s="1137">
        <f ca="1">'USABC Data'!L42</f>
        <v>290.66291258075501</v>
      </c>
      <c r="O28" s="1110"/>
    </row>
    <row r="29" spans="1:15" ht="13">
      <c r="A29" s="255"/>
      <c r="B29" s="1110" t="s">
        <v>1036</v>
      </c>
      <c r="C29" s="1110"/>
      <c r="D29" s="1110"/>
      <c r="E29" s="1110"/>
      <c r="F29" s="1110"/>
      <c r="G29" s="1137">
        <f ca="1">G23*1000/G28</f>
        <v>344.04114068807081</v>
      </c>
      <c r="H29" s="1137">
        <f t="shared" ref="H29:M29" ca="1" si="2">H23*1000/H28</f>
        <v>344.04114068807081</v>
      </c>
      <c r="I29" s="1137">
        <f t="shared" ca="1" si="2"/>
        <v>344.04114068807081</v>
      </c>
      <c r="J29" s="1137">
        <f t="shared" ca="1" si="2"/>
        <v>344.04114068807081</v>
      </c>
      <c r="K29" s="1137">
        <f t="shared" ca="1" si="2"/>
        <v>344.04114068807081</v>
      </c>
      <c r="L29" s="1137">
        <f t="shared" ca="1" si="2"/>
        <v>344.04114068807081</v>
      </c>
      <c r="M29" s="1137">
        <f t="shared" ca="1" si="2"/>
        <v>344.04114068807081</v>
      </c>
      <c r="O29" s="1110"/>
    </row>
    <row r="30" spans="1:15" ht="13">
      <c r="A30" s="255">
        <v>13</v>
      </c>
      <c r="B30" s="1110" t="s">
        <v>1081</v>
      </c>
      <c r="C30" s="1110"/>
      <c r="D30" s="1110"/>
      <c r="E30" s="1110"/>
      <c r="F30" s="1110"/>
      <c r="G30" s="1139">
        <f ca="1">'Battery Design'!G222</f>
        <v>26944.193195629876</v>
      </c>
      <c r="H30" s="1139">
        <f ca="1">'Battery Design'!H222</f>
        <v>18422.624047093741</v>
      </c>
      <c r="I30" s="1139">
        <f ca="1">'Battery Design'!I222</f>
        <v>17824.804550803652</v>
      </c>
      <c r="J30" s="1139">
        <f ca="1">'Battery Design'!J222</f>
        <v>17446.415734650443</v>
      </c>
      <c r="K30" s="1139">
        <f ca="1">'Battery Design'!K222</f>
        <v>17176.087098513712</v>
      </c>
      <c r="L30" s="1139">
        <f ca="1">'Battery Design'!L222</f>
        <v>16730.918831208743</v>
      </c>
      <c r="M30" s="1139">
        <f ca="1">'Battery Design'!M222</f>
        <v>16447.117072807363</v>
      </c>
      <c r="O30" s="1110"/>
    </row>
    <row r="31" spans="1:15" ht="13">
      <c r="A31" s="255"/>
      <c r="B31" s="1110" t="s">
        <v>1082</v>
      </c>
      <c r="C31" s="1110"/>
      <c r="D31" s="1110"/>
      <c r="E31" s="1110"/>
      <c r="F31" s="1110"/>
      <c r="G31" s="1140">
        <f t="shared" ref="G31:M31" ca="1" si="3">G30/G23</f>
        <v>269.4419319562989</v>
      </c>
      <c r="H31" s="1140">
        <f t="shared" ca="1" si="3"/>
        <v>184.22624047093748</v>
      </c>
      <c r="I31" s="1140">
        <f t="shared" ca="1" si="3"/>
        <v>178.2480455080366</v>
      </c>
      <c r="J31" s="1140">
        <f t="shared" ca="1" si="3"/>
        <v>174.46415734650452</v>
      </c>
      <c r="K31" s="1140">
        <f t="shared" ca="1" si="3"/>
        <v>171.76087098513719</v>
      </c>
      <c r="L31" s="1140">
        <f t="shared" ca="1" si="3"/>
        <v>167.30918831208749</v>
      </c>
      <c r="M31" s="1140">
        <f t="shared" ca="1" si="3"/>
        <v>164.4711707280737</v>
      </c>
      <c r="O31" s="1110"/>
    </row>
    <row r="32" spans="1:15" ht="15">
      <c r="A32" s="255"/>
      <c r="B32" s="1110" t="s">
        <v>1367</v>
      </c>
      <c r="C32" s="1110"/>
      <c r="D32" s="1110"/>
      <c r="E32" s="1110"/>
      <c r="F32" s="1110"/>
      <c r="G32" s="1140">
        <f t="shared" ref="G32:M32" ca="1" si="4">G30/G24</f>
        <v>316.99050818388105</v>
      </c>
      <c r="H32" s="1140">
        <f t="shared" ca="1" si="4"/>
        <v>216.7367534952206</v>
      </c>
      <c r="I32" s="1140">
        <f t="shared" ca="1" si="4"/>
        <v>209.7035829506313</v>
      </c>
      <c r="J32" s="1140">
        <f t="shared" ca="1" si="4"/>
        <v>205.25194981941709</v>
      </c>
      <c r="K32" s="1140">
        <f t="shared" ca="1" si="4"/>
        <v>202.07161292369082</v>
      </c>
      <c r="L32" s="1140">
        <f t="shared" ca="1" si="4"/>
        <v>196.8343391906912</v>
      </c>
      <c r="M32" s="1140">
        <f t="shared" ca="1" si="4"/>
        <v>193.49549497420438</v>
      </c>
      <c r="O32" s="1110"/>
    </row>
    <row r="33" spans="1:15" ht="13">
      <c r="A33" s="255"/>
      <c r="B33" s="853" t="s">
        <v>447</v>
      </c>
      <c r="G33" s="1069">
        <f ca="1">'Battery Design'!G157</f>
        <v>2183.7420858142732</v>
      </c>
      <c r="H33" s="1069">
        <f ca="1">'Battery Design'!H157</f>
        <v>2183.7420858142732</v>
      </c>
      <c r="I33" s="1069">
        <f ca="1">'Battery Design'!I157</f>
        <v>2183.7420858142732</v>
      </c>
      <c r="J33" s="1069">
        <f ca="1">'Battery Design'!J157</f>
        <v>2183.7420858142732</v>
      </c>
      <c r="K33" s="1069">
        <f ca="1">'Battery Design'!K157</f>
        <v>2183.7420858142732</v>
      </c>
      <c r="L33" s="1069">
        <f ca="1">'Battery Design'!L157</f>
        <v>2183.7420858142732</v>
      </c>
      <c r="M33" s="1069">
        <f ca="1">'Battery Design'!M157</f>
        <v>2183.7420858142732</v>
      </c>
    </row>
    <row r="34" spans="1:15" ht="13">
      <c r="A34" s="255"/>
      <c r="B34" s="853" t="s">
        <v>448</v>
      </c>
      <c r="G34" s="1069">
        <f ca="1">'Battery Design'!G158</f>
        <v>1127.786042164144</v>
      </c>
      <c r="H34" s="1069">
        <f ca="1">'Battery Design'!H158</f>
        <v>1127.786042164144</v>
      </c>
      <c r="I34" s="1069">
        <f ca="1">'Battery Design'!I158</f>
        <v>1127.786042164144</v>
      </c>
      <c r="J34" s="1069">
        <f ca="1">'Battery Design'!J158</f>
        <v>1127.786042164144</v>
      </c>
      <c r="K34" s="1069">
        <f ca="1">'Battery Design'!K158</f>
        <v>1127.786042164144</v>
      </c>
      <c r="L34" s="1069">
        <f ca="1">'Battery Design'!L158</f>
        <v>1127.786042164144</v>
      </c>
      <c r="M34" s="1069">
        <f ca="1">'Battery Design'!M158</f>
        <v>1127.786042164144</v>
      </c>
    </row>
    <row r="35" spans="1:15" ht="13">
      <c r="A35" s="255"/>
      <c r="B35" s="853" t="s">
        <v>449</v>
      </c>
      <c r="G35" s="1069">
        <f ca="1">'Battery Design'!G159</f>
        <v>116.6734482693267</v>
      </c>
      <c r="H35" s="1069">
        <f ca="1">'Battery Design'!H159</f>
        <v>116.6734482693267</v>
      </c>
      <c r="I35" s="1069">
        <f ca="1">'Battery Design'!I159</f>
        <v>116.6734482693267</v>
      </c>
      <c r="J35" s="1069">
        <f ca="1">'Battery Design'!J159</f>
        <v>116.6734482693267</v>
      </c>
      <c r="K35" s="1069">
        <f ca="1">'Battery Design'!K159</f>
        <v>116.6734482693267</v>
      </c>
      <c r="L35" s="1069">
        <f ca="1">'Battery Design'!L159</f>
        <v>116.6734482693267</v>
      </c>
      <c r="M35" s="1069">
        <f ca="1">'Battery Design'!M159</f>
        <v>116.6734482693267</v>
      </c>
    </row>
    <row r="36" spans="1:15" ht="13">
      <c r="A36" s="255">
        <v>3</v>
      </c>
      <c r="B36" s="853" t="s">
        <v>1037</v>
      </c>
      <c r="G36" s="1141">
        <f ca="1">G13/G9</f>
        <v>2.0000000000000009</v>
      </c>
      <c r="H36" s="1141">
        <f t="shared" ref="H36:M36" ca="1" si="5">H13/H9</f>
        <v>2.0000000000000009</v>
      </c>
      <c r="I36" s="1141">
        <f t="shared" ca="1" si="5"/>
        <v>2.0000000000000009</v>
      </c>
      <c r="J36" s="1141">
        <f t="shared" ca="1" si="5"/>
        <v>2.0000000000000009</v>
      </c>
      <c r="K36" s="1141">
        <f t="shared" ca="1" si="5"/>
        <v>2.0000000000000009</v>
      </c>
      <c r="L36" s="1141">
        <f t="shared" ca="1" si="5"/>
        <v>2.0000000000000009</v>
      </c>
      <c r="M36" s="1141">
        <f t="shared" ca="1" si="5"/>
        <v>2.0000000000000009</v>
      </c>
    </row>
    <row r="37" spans="1:15" ht="13">
      <c r="A37" s="255">
        <v>5</v>
      </c>
      <c r="B37" s="853" t="s">
        <v>999</v>
      </c>
      <c r="G37" s="884" t="str">
        <f ca="1">IF('Battery Design'!G80 = "Ok", "", "X")</f>
        <v/>
      </c>
      <c r="H37" s="1210" t="str">
        <f ca="1">IF('Battery Design'!H80 = "Ok", "", "X")</f>
        <v/>
      </c>
      <c r="I37" s="1210" t="str">
        <f ca="1">IF('Battery Design'!I80 = "Ok", "", "X")</f>
        <v/>
      </c>
      <c r="J37" s="1210" t="str">
        <f ca="1">IF('Battery Design'!J80 = "Ok", "", "X")</f>
        <v/>
      </c>
      <c r="K37" s="1210" t="str">
        <f ca="1">IF('Battery Design'!K80 = "Ok", "", "X")</f>
        <v/>
      </c>
      <c r="L37" s="1210" t="str">
        <f ca="1">IF('Battery Design'!L80 = "Ok", "", "X")</f>
        <v/>
      </c>
      <c r="M37" s="1210" t="str">
        <f ca="1">IF('Battery Design'!M80 = "Ok", "", "X")</f>
        <v/>
      </c>
    </row>
    <row r="38" spans="1:15" ht="13">
      <c r="A38" s="255">
        <v>10</v>
      </c>
      <c r="B38" s="853" t="s">
        <v>550</v>
      </c>
      <c r="G38" s="1142">
        <f ca="1">'Battery Design'!G144</f>
        <v>22.70184826660379</v>
      </c>
      <c r="H38" s="1142">
        <f ca="1">'Battery Design'!H144</f>
        <v>22.70184826660379</v>
      </c>
      <c r="I38" s="1142">
        <f ca="1">'Battery Design'!I144</f>
        <v>22.70184826660379</v>
      </c>
      <c r="J38" s="1142">
        <f ca="1">'Battery Design'!J144</f>
        <v>22.70184826660379</v>
      </c>
      <c r="K38" s="1142">
        <f ca="1">'Battery Design'!K144</f>
        <v>22.70184826660379</v>
      </c>
      <c r="L38" s="1142">
        <f ca="1">'Battery Design'!L144</f>
        <v>22.70184826660379</v>
      </c>
      <c r="M38" s="1142">
        <f ca="1">'Battery Design'!M144</f>
        <v>22.70184826660379</v>
      </c>
    </row>
    <row r="39" spans="1:15" ht="13">
      <c r="A39" s="255"/>
      <c r="B39" s="255" t="s">
        <v>150</v>
      </c>
      <c r="O39" s="255"/>
    </row>
    <row r="40" spans="1:15" ht="13">
      <c r="A40" s="255">
        <v>9</v>
      </c>
      <c r="B40" s="193" t="s">
        <v>418</v>
      </c>
      <c r="C40" s="193"/>
      <c r="D40" s="193"/>
      <c r="E40" s="193"/>
      <c r="F40" s="193"/>
      <c r="G40" s="1143">
        <f ca="1">'Battery Design'!G82</f>
        <v>77.35058609741661</v>
      </c>
      <c r="H40" s="1143">
        <f ca="1">'Battery Design'!H82</f>
        <v>77.35058609741661</v>
      </c>
      <c r="I40" s="1143">
        <f ca="1">'Battery Design'!I82</f>
        <v>77.35058609741661</v>
      </c>
      <c r="J40" s="1143">
        <f ca="1">'Battery Design'!J82</f>
        <v>77.35058609741661</v>
      </c>
      <c r="K40" s="1143">
        <f ca="1">'Battery Design'!K82</f>
        <v>77.35058609741661</v>
      </c>
      <c r="L40" s="1143">
        <f ca="1">'Battery Design'!L82</f>
        <v>77.35058609741661</v>
      </c>
      <c r="M40" s="1143">
        <f ca="1">'Battery Design'!M82</f>
        <v>77.35058609741661</v>
      </c>
      <c r="O40" s="193"/>
    </row>
    <row r="41" spans="1:15" ht="13">
      <c r="A41" s="255"/>
      <c r="B41" s="1144" t="s">
        <v>1038</v>
      </c>
      <c r="C41" s="193"/>
      <c r="D41" s="193"/>
      <c r="E41" s="193"/>
      <c r="F41" s="193"/>
      <c r="G41" s="1145">
        <f ca="1">'USABC Data'!F18</f>
        <v>424.55013189393173</v>
      </c>
      <c r="H41" s="1145">
        <f ca="1">'USABC Data'!G18</f>
        <v>424.55013189393173</v>
      </c>
      <c r="I41" s="1145">
        <f ca="1">'USABC Data'!H18</f>
        <v>424.55013189393173</v>
      </c>
      <c r="J41" s="1145">
        <f ca="1">'USABC Data'!I18</f>
        <v>424.55013189393173</v>
      </c>
      <c r="K41" s="1145">
        <f ca="1">'USABC Data'!J18</f>
        <v>424.55013189393173</v>
      </c>
      <c r="L41" s="1145">
        <f ca="1">'USABC Data'!K18</f>
        <v>424.55013189393173</v>
      </c>
      <c r="M41" s="1145">
        <f ca="1">'USABC Data'!L18</f>
        <v>424.55013189393173</v>
      </c>
      <c r="O41" s="1144"/>
    </row>
    <row r="42" spans="1:15" ht="13">
      <c r="A42" s="255"/>
      <c r="B42" s="1144" t="s">
        <v>1039</v>
      </c>
      <c r="C42" s="193"/>
      <c r="D42" s="193"/>
      <c r="E42" s="193"/>
      <c r="F42" s="193"/>
      <c r="G42" s="1145">
        <f t="shared" ref="G42:M42" ca="1" si="6">G23*1000/G41</f>
        <v>235.54344348898621</v>
      </c>
      <c r="H42" s="1145">
        <f t="shared" ca="1" si="6"/>
        <v>235.54344348898621</v>
      </c>
      <c r="I42" s="1145">
        <f t="shared" ca="1" si="6"/>
        <v>235.54344348898621</v>
      </c>
      <c r="J42" s="1145">
        <f t="shared" ca="1" si="6"/>
        <v>235.54344348898621</v>
      </c>
      <c r="K42" s="1145">
        <f t="shared" ca="1" si="6"/>
        <v>235.54344348898621</v>
      </c>
      <c r="L42" s="1145">
        <f t="shared" ca="1" si="6"/>
        <v>235.54344348898621</v>
      </c>
      <c r="M42" s="1145">
        <f t="shared" ca="1" si="6"/>
        <v>235.54344348898621</v>
      </c>
      <c r="O42" s="1144"/>
    </row>
    <row r="43" spans="1:15" ht="13">
      <c r="A43" s="255"/>
      <c r="B43" s="1144" t="s">
        <v>1040</v>
      </c>
      <c r="C43" s="193"/>
      <c r="D43" s="193"/>
      <c r="E43" s="193"/>
      <c r="F43" s="193"/>
      <c r="G43" s="1145">
        <f ca="1">'USABC Data'!F33</f>
        <v>166.36673203881472</v>
      </c>
      <c r="H43" s="1145">
        <f ca="1">'USABC Data'!G33</f>
        <v>166.36673203881472</v>
      </c>
      <c r="I43" s="1145">
        <f ca="1">'USABC Data'!H33</f>
        <v>166.36673203881472</v>
      </c>
      <c r="J43" s="1145">
        <f ca="1">'USABC Data'!I33</f>
        <v>166.36673203881472</v>
      </c>
      <c r="K43" s="1145">
        <f ca="1">'USABC Data'!J33</f>
        <v>166.36673203881472</v>
      </c>
      <c r="L43" s="1145">
        <f ca="1">'USABC Data'!K33</f>
        <v>166.36673203881472</v>
      </c>
      <c r="M43" s="1145">
        <f ca="1">'USABC Data'!L33</f>
        <v>166.36673203881472</v>
      </c>
      <c r="O43" s="1144"/>
    </row>
    <row r="44" spans="1:15" ht="13">
      <c r="A44" s="255"/>
      <c r="B44" s="1144" t="s">
        <v>1041</v>
      </c>
      <c r="C44" s="193"/>
      <c r="D44" s="193"/>
      <c r="E44" s="193"/>
      <c r="F44" s="193"/>
      <c r="G44" s="1145">
        <f t="shared" ref="G44:M44" ca="1" si="7">G23*1000/G43</f>
        <v>601.08171131635345</v>
      </c>
      <c r="H44" s="1145">
        <f t="shared" ca="1" si="7"/>
        <v>601.08171131635345</v>
      </c>
      <c r="I44" s="1145">
        <f t="shared" ca="1" si="7"/>
        <v>601.08171131635345</v>
      </c>
      <c r="J44" s="1145">
        <f t="shared" ca="1" si="7"/>
        <v>601.08171131635345</v>
      </c>
      <c r="K44" s="1145">
        <f t="shared" ca="1" si="7"/>
        <v>601.08171131635345</v>
      </c>
      <c r="L44" s="1145">
        <f t="shared" ca="1" si="7"/>
        <v>601.08171131635345</v>
      </c>
      <c r="M44" s="1145">
        <f t="shared" ca="1" si="7"/>
        <v>601.08171131635345</v>
      </c>
      <c r="O44" s="1144"/>
    </row>
    <row r="45" spans="1:15" ht="13">
      <c r="A45" s="255">
        <v>16</v>
      </c>
      <c r="B45" s="1144" t="s">
        <v>1047</v>
      </c>
      <c r="C45" s="193"/>
      <c r="D45" s="193"/>
      <c r="E45" s="193"/>
      <c r="F45" s="193"/>
      <c r="G45" s="1146">
        <f ca="1">'USABC Data'!F48/'Summary of Results'!G23</f>
        <v>228.86932730232795</v>
      </c>
      <c r="H45" s="1146">
        <f ca="1">'USABC Data'!G48/'Summary of Results'!H23</f>
        <v>156.91568700273311</v>
      </c>
      <c r="I45" s="1146">
        <f ca="1">'USABC Data'!H48/'Summary of Results'!I23</f>
        <v>151.85139001554074</v>
      </c>
      <c r="J45" s="1146">
        <f ca="1">'USABC Data'!I48/'Summary of Results'!J23</f>
        <v>148.64416415570335</v>
      </c>
      <c r="K45" s="1146">
        <f ca="1">'USABC Data'!J48/'Summary of Results'!K23</f>
        <v>146.35198714208383</v>
      </c>
      <c r="L45" s="1146">
        <f ca="1">'USABC Data'!K48/'Summary of Results'!L23</f>
        <v>142.5757319783832</v>
      </c>
      <c r="M45" s="1146">
        <f ca="1">'USABC Data'!L48/'Summary of Results'!M23</f>
        <v>140.16732228862736</v>
      </c>
      <c r="O45" s="1144"/>
    </row>
    <row r="46" spans="1:15" ht="15">
      <c r="A46" s="255">
        <v>17</v>
      </c>
      <c r="B46" s="1144" t="s">
        <v>1368</v>
      </c>
      <c r="C46" s="193"/>
      <c r="D46" s="193"/>
      <c r="E46" s="193"/>
      <c r="F46" s="193"/>
      <c r="G46" s="1146">
        <f ca="1">'USABC Data'!F48/'Summary of Results'!G24</f>
        <v>269.25803212038585</v>
      </c>
      <c r="H46" s="1146">
        <f ca="1">'USABC Data'!G48/'Summary of Results'!H24</f>
        <v>184.60669059145073</v>
      </c>
      <c r="I46" s="1146">
        <f ca="1">'USABC Data'!H48/'Summary of Results'!I24</f>
        <v>178.6486941359303</v>
      </c>
      <c r="J46" s="1146">
        <f ca="1">'USABC Data'!I48/'Summary of Results'!J24</f>
        <v>174.87548724200394</v>
      </c>
      <c r="K46" s="1146">
        <f ca="1">'USABC Data'!J48/'Summary of Results'!K24</f>
        <v>172.17880840245158</v>
      </c>
      <c r="L46" s="1146">
        <f ca="1">'USABC Data'!K48/'Summary of Results'!L24</f>
        <v>167.73615526868616</v>
      </c>
      <c r="M46" s="1146">
        <f ca="1">'USABC Data'!L48/'Summary of Results'!M24</f>
        <v>164.90273210426747</v>
      </c>
      <c r="O46" s="1144"/>
    </row>
    <row r="47" spans="1:15" ht="13">
      <c r="A47" s="255">
        <v>6</v>
      </c>
      <c r="B47" s="1144" t="s">
        <v>1042</v>
      </c>
      <c r="C47" s="193"/>
      <c r="D47" s="193"/>
      <c r="E47" s="193"/>
      <c r="F47" s="193"/>
      <c r="G47" s="1147">
        <f ca="1">'Battery Design'!G104</f>
        <v>120</v>
      </c>
      <c r="H47" s="1148">
        <f ca="1">'Battery Design'!H104</f>
        <v>120</v>
      </c>
      <c r="I47" s="1147">
        <f ca="1">'Battery Design'!I104</f>
        <v>120</v>
      </c>
      <c r="J47" s="1147">
        <f ca="1">'Battery Design'!J104</f>
        <v>120</v>
      </c>
      <c r="K47" s="1147">
        <f ca="1">'Battery Design'!K104</f>
        <v>120</v>
      </c>
      <c r="L47" s="1147">
        <f ca="1">'Battery Design'!L104</f>
        <v>120</v>
      </c>
      <c r="M47" s="1147">
        <f ca="1">'Battery Design'!M104</f>
        <v>120</v>
      </c>
      <c r="O47" s="1144"/>
    </row>
    <row r="48" spans="1:15" ht="13">
      <c r="A48" s="255"/>
      <c r="B48" s="1144" t="s">
        <v>1043</v>
      </c>
      <c r="C48" s="193"/>
      <c r="D48" s="193"/>
      <c r="E48" s="193"/>
      <c r="F48" s="193"/>
      <c r="G48" s="1147">
        <f ca="1">'Battery Design'!G105</f>
        <v>38.640721036937791</v>
      </c>
      <c r="H48" s="1147">
        <f ca="1">'Battery Design'!H105</f>
        <v>38.640721036937791</v>
      </c>
      <c r="I48" s="1147">
        <f ca="1">'Battery Design'!I105</f>
        <v>38.640721036937791</v>
      </c>
      <c r="J48" s="1147">
        <f ca="1">'Battery Design'!J105</f>
        <v>38.640721036937791</v>
      </c>
      <c r="K48" s="1147">
        <f ca="1">'Battery Design'!K105</f>
        <v>38.640721036937791</v>
      </c>
      <c r="L48" s="1147">
        <f ca="1">'Battery Design'!L105</f>
        <v>38.640721036937791</v>
      </c>
      <c r="M48" s="1147">
        <f ca="1">'Battery Design'!M105</f>
        <v>38.640721036937791</v>
      </c>
      <c r="O48" s="1144"/>
    </row>
    <row r="49" spans="1:26">
      <c r="A49" s="255">
        <v>7</v>
      </c>
      <c r="B49" s="193" t="s">
        <v>1464</v>
      </c>
      <c r="C49" s="193"/>
      <c r="D49" s="193"/>
      <c r="E49" s="193"/>
      <c r="F49" s="193"/>
      <c r="G49" s="1148">
        <f ca="1">'Battery Design'!G106</f>
        <v>4.4922253250504989</v>
      </c>
      <c r="H49" s="1148">
        <f ca="1">'Battery Design'!H106</f>
        <v>4.4922253250504989</v>
      </c>
      <c r="I49" s="1148">
        <f ca="1">'Battery Design'!I106</f>
        <v>4.4922253250504989</v>
      </c>
      <c r="J49" s="1148">
        <f ca="1">'Battery Design'!J106</f>
        <v>4.4922253250504989</v>
      </c>
      <c r="K49" s="1148">
        <f ca="1">'Battery Design'!K106</f>
        <v>4.4922253250504989</v>
      </c>
      <c r="L49" s="1148">
        <f ca="1">'Battery Design'!L106</f>
        <v>4.4922253250504989</v>
      </c>
      <c r="M49" s="1148">
        <f ca="1">'Battery Design'!M106</f>
        <v>4.4922253250504989</v>
      </c>
      <c r="O49" s="193"/>
    </row>
    <row r="50" spans="1:26">
      <c r="A50" s="255">
        <v>8</v>
      </c>
      <c r="B50" s="193" t="s">
        <v>1465</v>
      </c>
      <c r="C50" s="193"/>
      <c r="D50" s="193"/>
      <c r="E50" s="193"/>
      <c r="F50" s="193"/>
      <c r="G50" s="1148">
        <f ca="1">'Battery Design'!G107</f>
        <v>5.1750435744581758</v>
      </c>
      <c r="H50" s="1148">
        <f ca="1">'Battery Design'!H107</f>
        <v>5.1750435744581758</v>
      </c>
      <c r="I50" s="1148">
        <f ca="1">'Battery Design'!I107</f>
        <v>5.1750435744581758</v>
      </c>
      <c r="J50" s="1148">
        <f ca="1">'Battery Design'!J107</f>
        <v>5.1750435744581758</v>
      </c>
      <c r="K50" s="1148">
        <f ca="1">'Battery Design'!K107</f>
        <v>5.1750435744581758</v>
      </c>
      <c r="L50" s="1148">
        <f ca="1">'Battery Design'!L107</f>
        <v>5.1750435744581758</v>
      </c>
      <c r="M50" s="1148">
        <f ca="1">'Battery Design'!M107</f>
        <v>5.1750435744581758</v>
      </c>
      <c r="O50" s="193"/>
    </row>
    <row r="51" spans="1:26" ht="13">
      <c r="A51" s="255"/>
      <c r="B51" s="255" t="s">
        <v>68</v>
      </c>
      <c r="C51" s="255"/>
      <c r="D51" s="255"/>
      <c r="E51" s="286"/>
      <c r="F51" s="185"/>
      <c r="G51" s="286"/>
      <c r="H51" s="286"/>
      <c r="I51" s="286"/>
      <c r="J51" s="286"/>
      <c r="K51" s="286"/>
      <c r="L51" s="286"/>
      <c r="M51" s="286"/>
      <c r="O51" s="255"/>
    </row>
    <row r="52" spans="1:26" ht="13">
      <c r="A52" s="255"/>
      <c r="B52" s="853" t="s">
        <v>135</v>
      </c>
      <c r="E52" s="286"/>
      <c r="F52" s="185"/>
      <c r="G52" s="286">
        <f ca="1">'Manufacturing Cost Calculations'!G264</f>
        <v>13.350167117452155</v>
      </c>
      <c r="H52" s="286">
        <f ca="1">'Manufacturing Cost Calculations'!H264</f>
        <v>102.58312222599825</v>
      </c>
      <c r="I52" s="286">
        <f ca="1">'Manufacturing Cost Calculations'!I264</f>
        <v>135.83386309274661</v>
      </c>
      <c r="J52" s="286">
        <f ca="1">'Manufacturing Cost Calculations'!J264</f>
        <v>165.86589777406169</v>
      </c>
      <c r="K52" s="286">
        <f ca="1">'Manufacturing Cost Calculations'!K264</f>
        <v>193.71961011520122</v>
      </c>
      <c r="L52" s="286">
        <f ca="1">'Manufacturing Cost Calculations'!L264</f>
        <v>257.00852333981845</v>
      </c>
      <c r="M52" s="286">
        <f ca="1">'Manufacturing Cost Calculations'!M264</f>
        <v>314.24025426045512</v>
      </c>
    </row>
    <row r="53" spans="1:26" ht="13">
      <c r="A53" s="255"/>
      <c r="B53" s="857" t="s">
        <v>143</v>
      </c>
      <c r="E53" s="286"/>
      <c r="F53" s="185"/>
      <c r="G53" s="286"/>
      <c r="H53" s="286"/>
      <c r="I53" s="286"/>
      <c r="J53" s="286"/>
      <c r="K53" s="286"/>
      <c r="L53" s="286"/>
      <c r="M53" s="286"/>
      <c r="O53" s="753"/>
    </row>
    <row r="54" spans="1:26" ht="15">
      <c r="A54" s="255"/>
      <c r="B54" s="853" t="s">
        <v>1369</v>
      </c>
      <c r="E54" s="286"/>
      <c r="F54" s="185"/>
      <c r="G54" s="286">
        <f ca="1">'Manufacturing Cost Calculations'!G265</f>
        <v>1808.2206902937337</v>
      </c>
      <c r="H54" s="286">
        <f ca="1">'Manufacturing Cost Calculations'!H265</f>
        <v>11431.943617196115</v>
      </c>
      <c r="I54" s="286">
        <f ca="1">'Manufacturing Cost Calculations'!I265</f>
        <v>14771.309322976311</v>
      </c>
      <c r="J54" s="286">
        <f ca="1">'Manufacturing Cost Calculations'!J265</f>
        <v>17734.258936629722</v>
      </c>
      <c r="K54" s="286">
        <f ca="1">'Manufacturing Cost Calculations'!K265</f>
        <v>20447.567800313955</v>
      </c>
      <c r="L54" s="286">
        <f ca="1">'Manufacturing Cost Calculations'!L265</f>
        <v>26518.130516819361</v>
      </c>
      <c r="M54" s="286">
        <f ca="1">'Manufacturing Cost Calculations'!M265</f>
        <v>31921.719560789843</v>
      </c>
    </row>
    <row r="55" spans="1:26">
      <c r="A55" s="255"/>
      <c r="B55" s="853" t="s">
        <v>1466</v>
      </c>
      <c r="E55" s="286"/>
      <c r="F55" s="185"/>
      <c r="G55" s="286">
        <f>'Cost Input'!$K32</f>
        <v>3000</v>
      </c>
      <c r="H55" s="286">
        <f>'Cost Input'!$K32</f>
        <v>3000</v>
      </c>
      <c r="I55" s="286">
        <f>'Cost Input'!$K32</f>
        <v>3000</v>
      </c>
      <c r="J55" s="286">
        <f>'Cost Input'!$K32</f>
        <v>3000</v>
      </c>
      <c r="K55" s="286">
        <f>'Cost Input'!$K32</f>
        <v>3000</v>
      </c>
      <c r="L55" s="286">
        <f>'Cost Input'!$K32</f>
        <v>3000</v>
      </c>
      <c r="M55" s="286">
        <f>'Cost Input'!$K32</f>
        <v>3000</v>
      </c>
      <c r="T55" s="258"/>
      <c r="U55" s="258"/>
      <c r="V55" s="258"/>
      <c r="W55" s="258"/>
      <c r="X55" s="258"/>
      <c r="Y55" s="258"/>
      <c r="Z55" s="258"/>
    </row>
    <row r="56" spans="1:26" ht="13">
      <c r="A56" s="255"/>
      <c r="B56" s="853" t="s">
        <v>1014</v>
      </c>
      <c r="E56" s="286"/>
      <c r="F56" s="185"/>
      <c r="G56" s="306">
        <f t="shared" ref="G56:L56" ca="1" si="8">G54*G55/1000000</f>
        <v>5.424662070881201</v>
      </c>
      <c r="H56" s="306">
        <f t="shared" ca="1" si="8"/>
        <v>34.295830851588349</v>
      </c>
      <c r="I56" s="306">
        <f t="shared" ca="1" si="8"/>
        <v>44.31392796892893</v>
      </c>
      <c r="J56" s="306">
        <f t="shared" ca="1" si="8"/>
        <v>53.202776809889166</v>
      </c>
      <c r="K56" s="306">
        <f t="shared" ca="1" si="8"/>
        <v>61.342703400941865</v>
      </c>
      <c r="L56" s="306">
        <f t="shared" ca="1" si="8"/>
        <v>79.554391550458092</v>
      </c>
      <c r="M56" s="306">
        <f ca="1">M54*M55/1000000</f>
        <v>95.765158682369531</v>
      </c>
      <c r="T56" s="258"/>
      <c r="U56" s="258"/>
      <c r="V56" s="258"/>
      <c r="W56" s="258"/>
      <c r="X56" s="258"/>
      <c r="Y56" s="258"/>
      <c r="Z56" s="258"/>
    </row>
    <row r="57" spans="1:26" ht="13">
      <c r="A57" s="255"/>
      <c r="B57" s="753" t="s">
        <v>113</v>
      </c>
      <c r="E57" s="286"/>
      <c r="F57" s="185"/>
      <c r="G57" s="286"/>
      <c r="H57" s="286"/>
      <c r="I57" s="286"/>
      <c r="J57" s="286"/>
      <c r="K57" s="286"/>
      <c r="L57" s="286"/>
      <c r="M57" s="286"/>
      <c r="O57" s="753"/>
      <c r="T57" s="258"/>
      <c r="U57" s="258"/>
      <c r="V57" s="258"/>
      <c r="W57" s="258"/>
      <c r="X57" s="258"/>
      <c r="Y57" s="258"/>
      <c r="Z57" s="258"/>
    </row>
    <row r="58" spans="1:26" ht="13">
      <c r="A58" s="255"/>
      <c r="B58" s="853" t="s">
        <v>1044</v>
      </c>
      <c r="E58" s="286"/>
      <c r="F58" s="185"/>
      <c r="G58" s="286"/>
      <c r="H58" s="286"/>
      <c r="I58" s="286"/>
      <c r="J58" s="286"/>
      <c r="K58" s="286"/>
      <c r="L58" s="286"/>
      <c r="M58" s="286"/>
      <c r="T58" s="258"/>
      <c r="U58" s="258"/>
      <c r="V58" s="258"/>
      <c r="W58" s="258"/>
      <c r="X58" s="258"/>
      <c r="Y58" s="258"/>
      <c r="Z58" s="258"/>
    </row>
    <row r="59" spans="1:26" ht="13">
      <c r="A59" s="255"/>
      <c r="B59" s="853" t="s">
        <v>1085</v>
      </c>
      <c r="E59" s="286"/>
      <c r="F59" s="185"/>
      <c r="G59" s="313">
        <f ca="1">('Cost Input'!$K34/100*G69+'Cost Input'!$K35/100*(G78+G79))*'Manufacturing Cost Calculations'!G5/1000000</f>
        <v>1.128763917335365</v>
      </c>
      <c r="H59" s="313">
        <f ca="1">('Cost Input'!$K34/100*H69+'Cost Input'!$K35/100*(H78+H79))*'Manufacturing Cost Calculations'!H5/1000000</f>
        <v>15.702305272968943</v>
      </c>
      <c r="I59" s="313">
        <f ca="1">('Cost Input'!$K34/100*I69+'Cost Input'!$K35/100*(I78+I79))*'Manufacturing Cost Calculations'!I5/1000000</f>
        <v>22.892544995844418</v>
      </c>
      <c r="J59" s="313">
        <f ca="1">('Cost Input'!$K34/100*J69+'Cost Input'!$K35/100*(J78+J79))*'Manufacturing Cost Calculations'!J5/1000000</f>
        <v>29.973557610625367</v>
      </c>
      <c r="K59" s="313">
        <f ca="1">('Cost Input'!$K34/100*K69+'Cost Input'!$K35/100*(K78+K79))*'Manufacturing Cost Calculations'!K5/1000000</f>
        <v>36.980846492355397</v>
      </c>
      <c r="L59" s="313">
        <f ca="1">('Cost Input'!$K34/100*L69+'Cost Input'!$K35/100*(L78+L79))*'Manufacturing Cost Calculations'!L5/1000000</f>
        <v>54.284382119671349</v>
      </c>
      <c r="M59" s="313">
        <f ca="1">('Cost Input'!$K34/100*M69+'Cost Input'!$K35/100*(M78+M79))*'Manufacturing Cost Calculations'!M5/1000000</f>
        <v>71.382596471901792</v>
      </c>
      <c r="P59" s="17"/>
      <c r="Q59" s="17"/>
      <c r="R59" s="17"/>
      <c r="S59" s="41"/>
      <c r="T59" s="287"/>
      <c r="U59" s="287"/>
      <c r="V59" s="287"/>
      <c r="W59" s="287"/>
      <c r="X59" s="287"/>
      <c r="Y59" s="287"/>
      <c r="Z59" s="287"/>
    </row>
    <row r="60" spans="1:26" ht="13">
      <c r="A60" s="255"/>
      <c r="B60" s="853" t="s">
        <v>517</v>
      </c>
      <c r="E60" s="286"/>
      <c r="F60" s="185"/>
      <c r="G60" s="313">
        <f ca="1">G80*'Manufacturing Cost Calculations'!G5/1000000*'Cost Input'!$K$36/100</f>
        <v>2.804242478955207</v>
      </c>
      <c r="H60" s="313">
        <f ca="1">H80*'Manufacturing Cost Calculations'!H5/1000000*'Cost Input'!$K$36/100</f>
        <v>44.099279147076942</v>
      </c>
      <c r="I60" s="313">
        <f ca="1">I80*'Manufacturing Cost Calculations'!I5/1000000*'Cost Input'!$K$36/100</f>
        <v>64.892528474137066</v>
      </c>
      <c r="J60" s="313">
        <f ca="1">J80*'Manufacturing Cost Calculations'!J5/1000000*'Cost Input'!$K$36/100</f>
        <v>85.459755464544244</v>
      </c>
      <c r="K60" s="313">
        <f ca="1">K80*'Manufacturing Cost Calculations'!K5/1000000*'Cost Input'!$K$36/100</f>
        <v>105.87202123649212</v>
      </c>
      <c r="L60" s="313">
        <f ca="1">L80*'Manufacturing Cost Calculations'!L5/1000000*'Cost Input'!$K$36/100</f>
        <v>156.44429221734853</v>
      </c>
      <c r="M60" s="313">
        <f ca="1">M80*'Manufacturing Cost Calculations'!M5/1000000*'Cost Input'!$K$36/100</f>
        <v>206.57130029120401</v>
      </c>
      <c r="N60" s="331"/>
      <c r="P60" s="17"/>
      <c r="Q60" s="17"/>
      <c r="R60" s="17"/>
      <c r="S60" s="41"/>
      <c r="T60" s="286"/>
      <c r="U60" s="286"/>
      <c r="V60" s="286"/>
      <c r="W60" s="286"/>
      <c r="X60" s="286"/>
      <c r="Y60" s="286"/>
      <c r="Z60" s="286"/>
    </row>
    <row r="61" spans="1:26" ht="13">
      <c r="A61" s="255"/>
      <c r="B61" s="853" t="s">
        <v>146</v>
      </c>
      <c r="E61" s="286"/>
      <c r="F61" s="185"/>
      <c r="G61" s="313">
        <f t="shared" ref="G61:L61" ca="1" si="9">G52+G56+G59+G60</f>
        <v>22.707835584623929</v>
      </c>
      <c r="H61" s="313">
        <f t="shared" ca="1" si="9"/>
        <v>196.68053749763249</v>
      </c>
      <c r="I61" s="313">
        <f t="shared" ca="1" si="9"/>
        <v>267.93286453165706</v>
      </c>
      <c r="J61" s="313">
        <f t="shared" ca="1" si="9"/>
        <v>334.50198765912046</v>
      </c>
      <c r="K61" s="313">
        <f t="shared" ca="1" si="9"/>
        <v>397.91518124499061</v>
      </c>
      <c r="L61" s="313">
        <f t="shared" ca="1" si="9"/>
        <v>547.29158922729641</v>
      </c>
      <c r="M61" s="313">
        <f ca="1">M52+M56+M59+M60</f>
        <v>687.95930970593042</v>
      </c>
      <c r="P61" s="17"/>
      <c r="Q61" s="17"/>
      <c r="R61" s="17"/>
      <c r="S61" s="41"/>
      <c r="T61" s="286"/>
      <c r="U61" s="286"/>
      <c r="V61" s="286"/>
      <c r="W61" s="286"/>
      <c r="X61" s="286"/>
      <c r="Y61" s="286"/>
      <c r="Z61" s="286"/>
    </row>
    <row r="62" spans="1:26" ht="13">
      <c r="A62" s="255"/>
      <c r="B62" s="255" t="s">
        <v>137</v>
      </c>
      <c r="C62" s="255"/>
      <c r="D62" s="255"/>
      <c r="E62" s="286"/>
      <c r="F62" s="185"/>
      <c r="G62" s="307"/>
      <c r="H62" s="307"/>
      <c r="I62" s="307"/>
      <c r="J62" s="307"/>
      <c r="K62" s="307"/>
      <c r="L62" s="307"/>
      <c r="M62" s="307"/>
      <c r="O62" s="255"/>
      <c r="P62" s="17"/>
      <c r="Q62" s="17"/>
      <c r="R62" s="17"/>
      <c r="S62" s="41"/>
      <c r="T62" s="286"/>
      <c r="U62" s="286"/>
      <c r="V62" s="286"/>
      <c r="W62" s="286"/>
      <c r="X62" s="286"/>
      <c r="Y62" s="286"/>
      <c r="Z62" s="286"/>
    </row>
    <row r="63" spans="1:26" ht="13">
      <c r="A63" s="255"/>
      <c r="B63" s="255" t="s">
        <v>73</v>
      </c>
      <c r="C63" s="54"/>
      <c r="D63" s="54"/>
      <c r="E63" s="286"/>
      <c r="F63" s="185"/>
      <c r="G63" s="286"/>
      <c r="H63" s="286"/>
      <c r="I63" s="286"/>
      <c r="J63" s="286"/>
      <c r="K63" s="286"/>
      <c r="L63" s="286"/>
      <c r="M63" s="286"/>
      <c r="O63" s="255"/>
      <c r="P63" s="17"/>
      <c r="Q63" s="17"/>
      <c r="R63" s="17"/>
      <c r="S63" s="41"/>
      <c r="T63" s="286"/>
      <c r="U63" s="286"/>
      <c r="V63" s="286"/>
      <c r="W63" s="286"/>
      <c r="X63" s="286"/>
      <c r="Y63" s="286"/>
      <c r="Z63" s="286"/>
    </row>
    <row r="64" spans="1:26" ht="13">
      <c r="A64" s="255"/>
      <c r="B64" s="857" t="s">
        <v>1045</v>
      </c>
      <c r="E64" s="286"/>
      <c r="F64" s="185"/>
      <c r="G64" s="286"/>
      <c r="H64" s="286"/>
      <c r="I64" s="286"/>
      <c r="J64" s="286"/>
      <c r="K64" s="286"/>
      <c r="L64" s="286"/>
      <c r="M64" s="286"/>
      <c r="O64" s="753"/>
      <c r="P64" s="17"/>
      <c r="Q64" s="17"/>
      <c r="R64" s="17"/>
      <c r="S64" s="41"/>
      <c r="T64" s="286"/>
      <c r="U64" s="286"/>
      <c r="V64" s="286"/>
      <c r="W64" s="286"/>
      <c r="X64" s="286"/>
      <c r="Y64" s="286"/>
      <c r="Z64" s="286"/>
    </row>
    <row r="65" spans="1:26" ht="13">
      <c r="A65" s="255"/>
      <c r="B65" s="853" t="s">
        <v>1048</v>
      </c>
      <c r="E65" s="286"/>
      <c r="F65" s="185"/>
      <c r="G65" s="286">
        <f ca="1">SUM('Cost Breakdown'!G21:G27)</f>
        <v>12116.589315042083</v>
      </c>
      <c r="H65" s="286">
        <f ca="1">SUM('Cost Breakdown'!H21:H27)</f>
        <v>11494.596771315521</v>
      </c>
      <c r="I65" s="286">
        <f ca="1">SUM('Cost Breakdown'!I21:I27)</f>
        <v>11423.836971934843</v>
      </c>
      <c r="J65" s="286">
        <f ca="1">SUM('Cost Breakdown'!J21:J27)</f>
        <v>11375.34390729081</v>
      </c>
      <c r="K65" s="286">
        <f ca="1">SUM('Cost Breakdown'!K21:K27)</f>
        <v>11338.678816052925</v>
      </c>
      <c r="L65" s="286">
        <f ca="1">SUM('Cost Breakdown'!L21:L27)</f>
        <v>11274.114494460064</v>
      </c>
      <c r="M65" s="286">
        <f ca="1">SUM('Cost Breakdown'!M21:M27)</f>
        <v>11229.867311057849</v>
      </c>
      <c r="P65" s="17"/>
      <c r="Q65" s="17"/>
      <c r="R65" s="17"/>
      <c r="S65" s="41"/>
      <c r="T65" s="286"/>
      <c r="U65" s="286"/>
      <c r="V65" s="286"/>
      <c r="W65" s="286"/>
      <c r="X65" s="286"/>
      <c r="Y65" s="286"/>
      <c r="Z65" s="286"/>
    </row>
    <row r="66" spans="1:26" ht="13">
      <c r="A66" s="255"/>
      <c r="B66" s="853" t="s">
        <v>1049</v>
      </c>
      <c r="E66" s="286"/>
      <c r="F66" s="185"/>
      <c r="G66" s="286">
        <f ca="1">'Cost Breakdown'!G28</f>
        <v>895.67745134761049</v>
      </c>
      <c r="H66" s="286">
        <f ca="1">'Cost Breakdown'!H28</f>
        <v>491.97795378973501</v>
      </c>
      <c r="I66" s="286">
        <f ca="1">'Cost Breakdown'!I28</f>
        <v>453.65676346410658</v>
      </c>
      <c r="J66" s="286">
        <f ca="1">'Cost Breakdown'!J28</f>
        <v>428.29168480092835</v>
      </c>
      <c r="K66" s="286">
        <f ca="1">'Cost Breakdown'!K28</f>
        <v>409.59782339865438</v>
      </c>
      <c r="L66" s="286">
        <f ca="1">'Cost Breakdown'!L28</f>
        <v>377.6933934815948</v>
      </c>
      <c r="M66" s="286">
        <f ca="1">'Cost Breakdown'!M28</f>
        <v>356.57561588456497</v>
      </c>
      <c r="P66" s="17"/>
      <c r="Q66" s="17"/>
      <c r="R66" s="17"/>
      <c r="S66" s="41"/>
      <c r="T66" s="286"/>
      <c r="U66" s="286"/>
      <c r="V66" s="286"/>
      <c r="W66" s="286"/>
      <c r="X66" s="286"/>
      <c r="Y66" s="286"/>
      <c r="Z66" s="286"/>
    </row>
    <row r="67" spans="1:26" ht="13">
      <c r="A67" s="255"/>
      <c r="B67" s="853" t="s">
        <v>1050</v>
      </c>
      <c r="E67" s="286"/>
      <c r="F67" s="185"/>
      <c r="G67" s="286">
        <f ca="1">'Manufacturing Cost Calculations'!G97*'Battery Design'!G72</f>
        <v>964.76082502884299</v>
      </c>
      <c r="H67" s="286">
        <f ca="1">'Manufacturing Cost Calculations'!H97*'Battery Design'!H72</f>
        <v>873.04565203350637</v>
      </c>
      <c r="I67" s="286">
        <f ca="1">'Manufacturing Cost Calculations'!I97*'Battery Design'!I72</f>
        <v>864.33958571099777</v>
      </c>
      <c r="J67" s="286">
        <f ca="1">'Manufacturing Cost Calculations'!J97*'Battery Design'!J72</f>
        <v>858.57697616675341</v>
      </c>
      <c r="K67" s="286">
        <f ca="1">'Manufacturing Cost Calculations'!K97*'Battery Design'!K72</f>
        <v>854.32997872724172</v>
      </c>
      <c r="L67" s="286">
        <f ca="1">'Manufacturing Cost Calculations'!L97*'Battery Design'!L72</f>
        <v>847.08171528658397</v>
      </c>
      <c r="M67" s="286">
        <f ca="1">'Manufacturing Cost Calculations'!M97*'Battery Design'!M72</f>
        <v>842.28403622751841</v>
      </c>
      <c r="P67" s="17"/>
      <c r="Q67" s="17"/>
      <c r="R67" s="17"/>
      <c r="S67" s="41"/>
      <c r="T67" s="287"/>
      <c r="U67" s="287"/>
      <c r="V67" s="287"/>
      <c r="W67" s="287"/>
      <c r="X67" s="287"/>
      <c r="Y67" s="287"/>
      <c r="Z67" s="287"/>
    </row>
    <row r="68" spans="1:26" ht="13">
      <c r="A68" s="255"/>
      <c r="B68" s="853" t="s">
        <v>1051</v>
      </c>
      <c r="E68" s="286"/>
      <c r="F68" s="185"/>
      <c r="G68" s="286">
        <f ca="1">'Manufacturing Cost Calculations'!G108</f>
        <v>837.59378127691787</v>
      </c>
      <c r="H68" s="286">
        <f ca="1">'Manufacturing Cost Calculations'!H108</f>
        <v>837.59378127691787</v>
      </c>
      <c r="I68" s="286">
        <f ca="1">'Manufacturing Cost Calculations'!I108</f>
        <v>837.59378127691787</v>
      </c>
      <c r="J68" s="286">
        <f ca="1">'Manufacturing Cost Calculations'!J108</f>
        <v>837.59378127691787</v>
      </c>
      <c r="K68" s="286">
        <f ca="1">'Manufacturing Cost Calculations'!K108</f>
        <v>837.59378127691787</v>
      </c>
      <c r="L68" s="286">
        <f ca="1">'Manufacturing Cost Calculations'!L108</f>
        <v>837.59378127691787</v>
      </c>
      <c r="M68" s="286">
        <f ca="1">'Manufacturing Cost Calculations'!M108</f>
        <v>837.59378127691787</v>
      </c>
      <c r="P68" s="17"/>
      <c r="Q68" s="17"/>
      <c r="R68" s="17"/>
      <c r="S68" s="41"/>
      <c r="T68" s="286"/>
      <c r="U68" s="286"/>
      <c r="V68" s="286"/>
      <c r="W68" s="286"/>
      <c r="X68" s="286"/>
      <c r="Y68" s="286"/>
      <c r="Z68" s="286"/>
    </row>
    <row r="69" spans="1:26" ht="13">
      <c r="A69" s="255"/>
      <c r="B69" s="853" t="s">
        <v>1052</v>
      </c>
      <c r="E69" s="286"/>
      <c r="F69" s="185"/>
      <c r="G69" s="286">
        <f t="shared" ref="G69:L69" ca="1" si="10">SUM(G65:G68)</f>
        <v>14814.621372695454</v>
      </c>
      <c r="H69" s="286">
        <f t="shared" ca="1" si="10"/>
        <v>13697.21415841568</v>
      </c>
      <c r="I69" s="286">
        <f t="shared" ca="1" si="10"/>
        <v>13579.427102386864</v>
      </c>
      <c r="J69" s="286">
        <f t="shared" ca="1" si="10"/>
        <v>13499.806349535409</v>
      </c>
      <c r="K69" s="286">
        <f t="shared" ca="1" si="10"/>
        <v>13440.20039945574</v>
      </c>
      <c r="L69" s="286">
        <f t="shared" ca="1" si="10"/>
        <v>13336.48338450516</v>
      </c>
      <c r="M69" s="286">
        <f ca="1">SUM(M65:M68)</f>
        <v>13266.32074444685</v>
      </c>
      <c r="P69" s="17"/>
      <c r="Q69" s="17"/>
      <c r="R69" s="17"/>
      <c r="S69" s="41"/>
      <c r="T69" s="286"/>
      <c r="U69" s="286"/>
      <c r="V69" s="286"/>
      <c r="W69" s="286"/>
      <c r="X69" s="286"/>
      <c r="Y69" s="286"/>
      <c r="Z69" s="286"/>
    </row>
    <row r="70" spans="1:26" ht="13">
      <c r="A70" s="255"/>
      <c r="B70" s="857" t="str">
        <f>"labor at " &amp; 'Cost Input'!K39 &amp; " $/hour"</f>
        <v>labor at 25 $/hour</v>
      </c>
      <c r="F70" s="255"/>
      <c r="G70" s="1149"/>
      <c r="H70" s="286"/>
      <c r="I70" s="286"/>
      <c r="J70" s="286"/>
      <c r="K70" s="286"/>
      <c r="L70" s="286"/>
      <c r="M70" s="286"/>
      <c r="O70" s="255"/>
      <c r="P70" s="17"/>
      <c r="Q70" s="17"/>
      <c r="R70" s="17"/>
      <c r="S70" s="41"/>
      <c r="T70" s="286"/>
      <c r="U70" s="286"/>
      <c r="V70" s="286"/>
      <c r="W70" s="286"/>
      <c r="X70" s="286"/>
      <c r="Y70" s="286"/>
      <c r="Z70" s="286"/>
    </row>
    <row r="71" spans="1:26" ht="13">
      <c r="A71" s="255"/>
      <c r="B71" s="853" t="s">
        <v>1053</v>
      </c>
      <c r="E71" s="286"/>
      <c r="F71" s="185"/>
      <c r="G71" s="286">
        <f ca="1">'Cost Input'!$K$39/'Manufacturing Cost Calculations'!G$5*('Manufacturing Cost Calculations'!G134+'Manufacturing Cost Calculations'!G139+'Manufacturing Cost Calculations'!G146+'Manufacturing Cost Calculations'!G152+'Manufacturing Cost Calculations'!G157+'Manufacturing Cost Calculations'!G163+'Manufacturing Cost Calculations'!G168+'Manufacturing Cost Calculations'!G173+'Manufacturing Cost Calculations'!G178+'Manufacturing Cost Calculations'!G183)</f>
        <v>520.88129858119453</v>
      </c>
      <c r="H71" s="286">
        <f ca="1">'Cost Input'!$K$39/'Manufacturing Cost Calculations'!H$5*('Manufacturing Cost Calculations'!H134+'Manufacturing Cost Calculations'!H139+'Manufacturing Cost Calculations'!H146+'Manufacturing Cost Calculations'!H152+'Manufacturing Cost Calculations'!H157+'Manufacturing Cost Calculations'!H163+'Manufacturing Cost Calculations'!H168+'Manufacturing Cost Calculations'!H173+'Manufacturing Cost Calculations'!H178+'Manufacturing Cost Calculations'!H183)</f>
        <v>124.72689889667883</v>
      </c>
      <c r="I71" s="286">
        <f ca="1">'Cost Input'!$K$39/'Manufacturing Cost Calculations'!I$5*('Manufacturing Cost Calculations'!I134+'Manufacturing Cost Calculations'!I139+'Manufacturing Cost Calculations'!I146+'Manufacturing Cost Calculations'!I152+'Manufacturing Cost Calculations'!I157+'Manufacturing Cost Calculations'!I163+'Manufacturing Cost Calculations'!I168+'Manufacturing Cost Calculations'!I173+'Manufacturing Cost Calculations'!I178+'Manufacturing Cost Calculations'!I183)</f>
        <v>103.28888720232111</v>
      </c>
      <c r="J71" s="286">
        <f ca="1">'Cost Input'!$K$39/'Manufacturing Cost Calculations'!J$5*('Manufacturing Cost Calculations'!J134+'Manufacturing Cost Calculations'!J139+'Manufacturing Cost Calculations'!J146+'Manufacturing Cost Calculations'!J152+'Manufacturing Cost Calculations'!J157+'Manufacturing Cost Calculations'!J163+'Manufacturing Cost Calculations'!J168+'Manufacturing Cost Calculations'!J173+'Manufacturing Cost Calculations'!J178+'Manufacturing Cost Calculations'!J183)</f>
        <v>90.424179059065906</v>
      </c>
      <c r="K71" s="286">
        <f ca="1">'Cost Input'!$K$39/'Manufacturing Cost Calculations'!K$5*('Manufacturing Cost Calculations'!K134+'Manufacturing Cost Calculations'!K139+'Manufacturing Cost Calculations'!K146+'Manufacturing Cost Calculations'!K152+'Manufacturing Cost Calculations'!K157+'Manufacturing Cost Calculations'!K163+'Manufacturing Cost Calculations'!K168+'Manufacturing Cost Calculations'!K173+'Manufacturing Cost Calculations'!K178+'Manufacturing Cost Calculations'!K183)</f>
        <v>81.59771255085893</v>
      </c>
      <c r="L71" s="286">
        <f ca="1">'Cost Input'!$K$39/'Manufacturing Cost Calculations'!L$5*('Manufacturing Cost Calculations'!L134+'Manufacturing Cost Calculations'!L139+'Manufacturing Cost Calculations'!L146+'Manufacturing Cost Calculations'!L152+'Manufacturing Cost Calculations'!L157+'Manufacturing Cost Calculations'!L163+'Manufacturing Cost Calculations'!L168+'Manufacturing Cost Calculations'!L173+'Manufacturing Cost Calculations'!L178+'Manufacturing Cost Calculations'!L183)</f>
        <v>67.7782555255896</v>
      </c>
      <c r="M71" s="286">
        <f ca="1">'Cost Input'!$K$39/'Manufacturing Cost Calculations'!M$5*('Manufacturing Cost Calculations'!M134+'Manufacturing Cost Calculations'!M139+'Manufacturing Cost Calculations'!M146+'Manufacturing Cost Calculations'!M152+'Manufacturing Cost Calculations'!M157+'Manufacturing Cost Calculations'!M163+'Manufacturing Cost Calculations'!M168+'Manufacturing Cost Calculations'!M173+'Manufacturing Cost Calculations'!M178+'Manufacturing Cost Calculations'!M183)</f>
        <v>59.468373786758697</v>
      </c>
      <c r="P71" s="17"/>
      <c r="Q71" s="17"/>
      <c r="R71" s="17"/>
      <c r="S71" s="41"/>
      <c r="T71" s="286"/>
      <c r="U71" s="286"/>
      <c r="V71" s="286"/>
      <c r="W71" s="286"/>
      <c r="X71" s="286"/>
      <c r="Y71" s="286"/>
      <c r="Z71" s="286"/>
    </row>
    <row r="72" spans="1:26" ht="13">
      <c r="A72" s="255"/>
      <c r="B72" s="853" t="s">
        <v>1054</v>
      </c>
      <c r="E72" s="286"/>
      <c r="F72" s="185"/>
      <c r="G72" s="286">
        <f ca="1">'Cost Input'!$K$39/'Manufacturing Cost Calculations'!G$5*('Manufacturing Cost Calculations'!G195+'Manufacturing Cost Calculations'!G200+'Manufacturing Cost Calculations'!G205+'Manufacturing Cost Calculations'!G210+'Manufacturing Cost Calculations'!G215)</f>
        <v>565.45453839108723</v>
      </c>
      <c r="H72" s="286">
        <f ca="1">'Cost Input'!$K$39/'Manufacturing Cost Calculations'!H$5*('Manufacturing Cost Calculations'!H195+'Manufacturing Cost Calculations'!H200+'Manufacturing Cost Calculations'!H205+'Manufacturing Cost Calculations'!H210+'Manufacturing Cost Calculations'!H215)</f>
        <v>157.53809871289906</v>
      </c>
      <c r="I72" s="286">
        <f ca="1">'Cost Input'!$K$39/'Manufacturing Cost Calculations'!I$5*('Manufacturing Cost Calculations'!I195+'Manufacturing Cost Calculations'!I200+'Manufacturing Cost Calculations'!I205+'Manufacturing Cost Calculations'!I210+'Manufacturing Cost Calculations'!I215)</f>
        <v>133.91923437583566</v>
      </c>
      <c r="J72" s="286">
        <f ca="1">'Cost Input'!$K$39/'Manufacturing Cost Calculations'!J$5*('Manufacturing Cost Calculations'!J195+'Manufacturing Cost Calculations'!J200+'Manufacturing Cost Calculations'!J205+'Manufacturing Cost Calculations'!J210+'Manufacturing Cost Calculations'!J215)</f>
        <v>119.50395310220617</v>
      </c>
      <c r="K72" s="286">
        <f ca="1">'Cost Input'!$K$39/'Manufacturing Cost Calculations'!K$5*('Manufacturing Cost Calculations'!K195+'Manufacturing Cost Calculations'!K200+'Manufacturing Cost Calculations'!K205+'Manufacturing Cost Calculations'!K210+'Manufacturing Cost Calculations'!K215)</f>
        <v>109.48257584690421</v>
      </c>
      <c r="L72" s="286">
        <f ca="1">'Cost Input'!$K$39/'Manufacturing Cost Calculations'!L$5*('Manufacturing Cost Calculations'!L195+'Manufacturing Cost Calculations'!L200+'Manufacturing Cost Calculations'!L205+'Manufacturing Cost Calculations'!L210+'Manufacturing Cost Calculations'!L215)</f>
        <v>93.52747708401246</v>
      </c>
      <c r="M72" s="286">
        <f ca="1">'Cost Input'!$K$39/'Manufacturing Cost Calculations'!M$5*('Manufacturing Cost Calculations'!M195+'Manufacturing Cost Calculations'!M200+'Manufacturing Cost Calculations'!M205+'Manufacturing Cost Calculations'!M210+'Manufacturing Cost Calculations'!M215)</f>
        <v>83.741964520761357</v>
      </c>
      <c r="P72" s="17"/>
      <c r="Q72" s="17"/>
      <c r="R72" s="17"/>
      <c r="S72" s="41"/>
      <c r="T72" s="286"/>
      <c r="U72" s="286"/>
      <c r="V72" s="286"/>
      <c r="W72" s="286"/>
      <c r="X72" s="286"/>
      <c r="Y72" s="286"/>
      <c r="Z72" s="286"/>
    </row>
    <row r="73" spans="1:26" ht="13">
      <c r="A73" s="255"/>
      <c r="B73" s="853" t="s">
        <v>1162</v>
      </c>
      <c r="E73" s="286"/>
      <c r="F73" s="185"/>
      <c r="G73" s="286">
        <f>'Cost Input'!$K$39/'Manufacturing Cost Calculations'!G$5*('Manufacturing Cost Calculations'!G222+'Manufacturing Cost Calculations'!G228+'Manufacturing Cost Calculations'!G233+'Manufacturing Cost Calculations'!G238)</f>
        <v>268.88932491527538</v>
      </c>
      <c r="H73" s="286">
        <f>'Cost Input'!$K$39/'Manufacturing Cost Calculations'!H$5*('Manufacturing Cost Calculations'!H222+'Manufacturing Cost Calculations'!H228+'Manufacturing Cost Calculations'!H233+'Manufacturing Cost Calculations'!H238)</f>
        <v>66.728222516077224</v>
      </c>
      <c r="I73" s="286">
        <f>'Cost Input'!$K$39/'Manufacturing Cost Calculations'!I$5*('Manufacturing Cost Calculations'!I222+'Manufacturing Cost Calculations'!I228+'Manufacturing Cost Calculations'!I233+'Manufacturing Cost Calculations'!I238)</f>
        <v>55.459477030429717</v>
      </c>
      <c r="J73" s="286">
        <f>'Cost Input'!$K$39/'Manufacturing Cost Calculations'!J$5*('Manufacturing Cost Calculations'!J222+'Manufacturing Cost Calculations'!J228+'Manufacturing Cost Calculations'!J233+'Manufacturing Cost Calculations'!J238)</f>
        <v>48.662245139358255</v>
      </c>
      <c r="K73" s="286">
        <f>'Cost Input'!$K$39/'Manufacturing Cost Calculations'!K$5*('Manufacturing Cost Calculations'!K222+'Manufacturing Cost Calculations'!K228+'Manufacturing Cost Calculations'!K233+'Manufacturing Cost Calculations'!K238)</f>
        <v>43.981234243997534</v>
      </c>
      <c r="L73" s="286">
        <f>'Cost Input'!$K$39/'Manufacturing Cost Calculations'!L$5*('Manufacturing Cost Calculations'!L222+'Manufacturing Cost Calculations'!L228+'Manufacturing Cost Calculations'!L233+'Manufacturing Cost Calculations'!L238)</f>
        <v>36.619872166908998</v>
      </c>
      <c r="M73" s="286">
        <f>'Cost Input'!$K$39/'Manufacturing Cost Calculations'!M$5*('Manufacturing Cost Calculations'!M222+'Manufacturing Cost Calculations'!M228+'Manufacturing Cost Calculations'!M233+'Manufacturing Cost Calculations'!M238)</f>
        <v>32.171893240323534</v>
      </c>
      <c r="P73" s="17"/>
      <c r="Q73" s="17"/>
      <c r="R73" s="17"/>
      <c r="S73" s="41"/>
      <c r="T73" s="286"/>
      <c r="U73" s="286"/>
      <c r="V73" s="286"/>
      <c r="W73" s="286"/>
      <c r="X73" s="286"/>
      <c r="Y73" s="286"/>
      <c r="Z73" s="286"/>
    </row>
    <row r="74" spans="1:26" ht="13">
      <c r="A74" s="255"/>
      <c r="B74" s="853" t="s">
        <v>1055</v>
      </c>
      <c r="E74" s="286"/>
      <c r="F74" s="185"/>
      <c r="G74" s="286">
        <f>'Cost Input'!$K$39/'Manufacturing Cost Calculations'!G$5*('Manufacturing Cost Calculations'!G243+'Manufacturing Cost Calculations'!G249)</f>
        <v>511.23380063430864</v>
      </c>
      <c r="H74" s="286">
        <f>'Cost Input'!$K$39/'Manufacturing Cost Calculations'!H$5*('Manufacturing Cost Calculations'!H243+'Manufacturing Cost Calculations'!H249)</f>
        <v>114.31535306138892</v>
      </c>
      <c r="I74" s="286">
        <f>'Cost Input'!$K$39/'Manufacturing Cost Calculations'!I$5*('Manufacturing Cost Calculations'!I243+'Manufacturing Cost Calculations'!I249)</f>
        <v>93.338094922169915</v>
      </c>
      <c r="J74" s="286">
        <f>'Cost Input'!$K$39/'Manufacturing Cost Calculations'!J$5*('Manufacturing Cost Calculations'!J243+'Manufacturing Cost Calculations'!J249)</f>
        <v>80.83316134344247</v>
      </c>
      <c r="K74" s="286">
        <f>'Cost Input'!$K$39/'Manufacturing Cost Calculations'!K$5*('Manufacturing Cost Calculations'!K243+'Manufacturing Cost Calculations'!K249)</f>
        <v>72.299377440058223</v>
      </c>
      <c r="L74" s="286">
        <f>'Cost Input'!$K$39/'Manufacturing Cost Calculations'!L$5*('Manufacturing Cost Calculations'!L243+'Manufacturing Cost Calculations'!L249)</f>
        <v>59.03219448301072</v>
      </c>
      <c r="M74" s="286">
        <f>'Cost Input'!$K$39/'Manufacturing Cost Calculations'!M$5*('Manufacturing Cost Calculations'!M243+'Manufacturing Cost Calculations'!M249)</f>
        <v>51.123380063430858</v>
      </c>
      <c r="P74" s="17"/>
      <c r="Q74" s="17"/>
      <c r="R74" s="17"/>
      <c r="S74" s="41"/>
      <c r="T74" s="286"/>
      <c r="U74" s="286"/>
      <c r="V74" s="286"/>
      <c r="W74" s="286"/>
      <c r="X74" s="286"/>
      <c r="Y74" s="286"/>
      <c r="Z74" s="286"/>
    </row>
    <row r="75" spans="1:26" ht="13">
      <c r="A75" s="255"/>
      <c r="B75" s="853" t="s">
        <v>1056</v>
      </c>
      <c r="E75" s="286"/>
      <c r="F75" s="185"/>
      <c r="G75" s="286">
        <f>'Cost Input'!$K$39/'Manufacturing Cost Calculations'!G$5*('Manufacturing Cost Calculations'!G254)</f>
        <v>13.661719529672375</v>
      </c>
      <c r="H75" s="286">
        <f>'Cost Input'!$K$39/'Manufacturing Cost Calculations'!H$5*('Manufacturing Cost Calculations'!H254)</f>
        <v>5.5615566650424331</v>
      </c>
      <c r="I75" s="286">
        <f>'Cost Input'!$K$39/'Manufacturing Cost Calculations'!I$5*('Manufacturing Cost Calculations'!I254)</f>
        <v>4.9245776390163165</v>
      </c>
      <c r="J75" s="286">
        <f>'Cost Input'!$K$39/'Manufacturing Cost Calculations'!J$5*('Manufacturing Cost Calculations'!J254)</f>
        <v>4.5173877286517099</v>
      </c>
      <c r="K75" s="286">
        <f>'Cost Input'!$K$39/'Manufacturing Cost Calculations'!K$5*('Manufacturing Cost Calculations'!K254)</f>
        <v>4.2248798614344691</v>
      </c>
      <c r="L75" s="286">
        <f>'Cost Input'!$K$39/'Manufacturing Cost Calculations'!L$5*('Manufacturing Cost Calculations'!L254)</f>
        <v>3.7409937803792546</v>
      </c>
      <c r="M75" s="286">
        <f>'Cost Input'!$K$39/'Manufacturing Cost Calculations'!M$5*('Manufacturing Cost Calculations'!M254)</f>
        <v>3.4316687917673483</v>
      </c>
      <c r="P75" s="17"/>
      <c r="Q75" s="17"/>
      <c r="R75" s="17"/>
      <c r="S75" s="41"/>
      <c r="T75" s="287"/>
      <c r="U75" s="287"/>
      <c r="V75" s="287"/>
      <c r="W75" s="287"/>
      <c r="X75" s="286"/>
      <c r="Y75" s="286"/>
      <c r="Z75" s="286"/>
    </row>
    <row r="76" spans="1:26" ht="13">
      <c r="A76" s="255"/>
      <c r="B76" s="853" t="s">
        <v>1161</v>
      </c>
      <c r="E76" s="286"/>
      <c r="F76" s="185"/>
      <c r="G76" s="286">
        <f ca="1">'Cost Input'!$K$39/'Manufacturing Cost Calculations'!G$5*('Manufacturing Cost Calculations'!G127+'Manufacturing Cost Calculations'!G259)</f>
        <v>349.0306142700573</v>
      </c>
      <c r="H76" s="286">
        <f ca="1">'Cost Input'!$K$39/'Manufacturing Cost Calculations'!H$5*('Manufacturing Cost Calculations'!H127+'Manufacturing Cost Calculations'!H259)</f>
        <v>71.293344676383938</v>
      </c>
      <c r="I76" s="286">
        <f ca="1">'Cost Input'!$K$39/'Manufacturing Cost Calculations'!I$5*('Manufacturing Cost Calculations'!I127+'Manufacturing Cost Calculations'!I259)</f>
        <v>57.583572536296828</v>
      </c>
      <c r="J76" s="286">
        <f ca="1">'Cost Input'!$K$39/'Manufacturing Cost Calculations'!J$5*('Manufacturing Cost Calculations'!J127+'Manufacturing Cost Calculations'!J259)</f>
        <v>49.496591148005571</v>
      </c>
      <c r="K76" s="286">
        <f ca="1">'Cost Input'!$K$39/'Manufacturing Cost Calculations'!K$5*('Manufacturing Cost Calculations'!K127+'Manufacturing Cost Calculations'!K259)</f>
        <v>44.019359667608235</v>
      </c>
      <c r="L76" s="286">
        <f ca="1">'Cost Input'!$K$39/'Manufacturing Cost Calculations'!L$5*('Manufacturing Cost Calculations'!L127+'Manufacturing Cost Calculations'!L259)</f>
        <v>35.579712321543688</v>
      </c>
      <c r="M76" s="286">
        <f ca="1">'Cost Input'!$K$39/'Manufacturing Cost Calculations'!M$5*('Manufacturing Cost Calculations'!M127+'Manufacturing Cost Calculations'!M259)</f>
        <v>30.598119305422827</v>
      </c>
      <c r="P76" s="17"/>
      <c r="Q76" s="17"/>
      <c r="R76" s="17"/>
      <c r="S76" s="41"/>
      <c r="T76" s="286"/>
      <c r="U76" s="286"/>
      <c r="V76" s="286"/>
      <c r="W76" s="286"/>
      <c r="X76" s="287"/>
      <c r="Y76" s="287"/>
      <c r="Z76" s="287"/>
    </row>
    <row r="77" spans="1:26" ht="13">
      <c r="A77" s="255"/>
      <c r="B77" s="853" t="s">
        <v>1057</v>
      </c>
      <c r="E77" s="286"/>
      <c r="F77" s="185"/>
      <c r="G77" s="286">
        <f ca="1">'Cost Input'!$K$39/'Manufacturing Cost Calculations'!G$5*('Manufacturing Cost Calculations'!G188)</f>
        <v>185.903200617956</v>
      </c>
      <c r="H77" s="286">
        <f ca="1">'Cost Input'!$K$39/'Manufacturing Cost Calculations'!H$5*('Manufacturing Cost Calculations'!H188)</f>
        <v>41.569219381653049</v>
      </c>
      <c r="I77" s="286">
        <f ca="1">'Cost Input'!$K$39/'Manufacturing Cost Calculations'!I$5*('Manufacturing Cost Calculations'!I188)</f>
        <v>33.941125496954271</v>
      </c>
      <c r="J77" s="286">
        <f ca="1">'Cost Input'!$K$39/'Manufacturing Cost Calculations'!J$5*('Manufacturing Cost Calculations'!J188)</f>
        <v>29.393876913398135</v>
      </c>
      <c r="K77" s="286">
        <f ca="1">'Cost Input'!$K$39/'Manufacturing Cost Calculations'!K$5*('Manufacturing Cost Calculations'!K188)</f>
        <v>26.290682760247968</v>
      </c>
      <c r="L77" s="286">
        <f ca="1">'Cost Input'!$K$39/'Manufacturing Cost Calculations'!L$5*('Manufacturing Cost Calculations'!L188)</f>
        <v>21.466252583997978</v>
      </c>
      <c r="M77" s="286">
        <f ca="1">'Cost Input'!$K$39/'Manufacturing Cost Calculations'!M$5*('Manufacturing Cost Calculations'!M188)</f>
        <v>18.590320061795598</v>
      </c>
      <c r="P77" s="17"/>
      <c r="Q77" s="17"/>
      <c r="R77" s="17"/>
      <c r="S77" s="41"/>
      <c r="T77" s="286"/>
      <c r="U77" s="286"/>
      <c r="V77" s="286"/>
      <c r="W77" s="286"/>
      <c r="X77" s="286"/>
      <c r="Y77" s="286"/>
      <c r="Z77" s="286"/>
    </row>
    <row r="78" spans="1:26" ht="13">
      <c r="A78" s="255"/>
      <c r="B78" s="853" t="s">
        <v>1058</v>
      </c>
      <c r="C78" s="332"/>
      <c r="D78" s="332"/>
      <c r="E78" s="54"/>
      <c r="F78" s="185"/>
      <c r="G78" s="286">
        <f ca="1">SUM(G71:G77)</f>
        <v>2415.0544969395514</v>
      </c>
      <c r="H78" s="286">
        <f t="shared" ref="H78:L78" ca="1" si="11">SUM(H71:H77)</f>
        <v>581.73269391012343</v>
      </c>
      <c r="I78" s="286">
        <f t="shared" ca="1" si="11"/>
        <v>482.45496920302384</v>
      </c>
      <c r="J78" s="286">
        <f t="shared" ca="1" si="11"/>
        <v>422.83139443412819</v>
      </c>
      <c r="K78" s="286">
        <f t="shared" ca="1" si="11"/>
        <v>381.8958223711096</v>
      </c>
      <c r="L78" s="286">
        <f t="shared" ca="1" si="11"/>
        <v>317.7447579454427</v>
      </c>
      <c r="M78" s="286">
        <f ca="1">SUM(M71:M77)</f>
        <v>279.12571977026022</v>
      </c>
      <c r="P78" s="17"/>
      <c r="Q78" s="17"/>
      <c r="R78" s="17"/>
      <c r="S78" s="41"/>
      <c r="T78" s="286"/>
      <c r="U78" s="286"/>
      <c r="V78" s="286"/>
      <c r="W78" s="286"/>
      <c r="X78" s="286"/>
      <c r="Y78" s="286"/>
      <c r="Z78" s="286"/>
    </row>
    <row r="79" spans="1:26" ht="13">
      <c r="A79" s="255"/>
      <c r="B79" s="853" t="s">
        <v>1059</v>
      </c>
      <c r="E79" s="333"/>
      <c r="F79" s="286"/>
      <c r="G79" s="399">
        <f ca="1">G78*'Cost Input'!$K41/100+'Cost Input'!$K42/100*'Summary of Results'!G84</f>
        <v>1465.2739900663714</v>
      </c>
      <c r="H79" s="399">
        <f ca="1">H78*'Cost Input'!$K41/100+'Cost Input'!$K42/100*'Summary of Results'!H84</f>
        <v>420.81286336650737</v>
      </c>
      <c r="I79" s="399">
        <f ca="1">I78*'Cost Input'!$K41/100+'Cost Input'!$K42/100*'Summary of Results'!I84</f>
        <v>358.67981155168212</v>
      </c>
      <c r="J79" s="399">
        <f ca="1">J78*'Cost Input'!$K41/100+'Cost Input'!$K42/100*'Summary of Results'!J84</f>
        <v>320.65483345450832</v>
      </c>
      <c r="K79" s="399">
        <f ca="1">K78*'Cost Input'!$K41/100+'Cost Input'!$K42/100*'Summary of Results'!K84</f>
        <v>294.17327637209974</v>
      </c>
      <c r="L79" s="399">
        <f ca="1">L78*'Cost Input'!$K41/100+'Cost Input'!$K42/100*'Summary of Results'!L84</f>
        <v>251.9311657581575</v>
      </c>
      <c r="M79" s="399">
        <f ca="1">M78*'Cost Input'!$K41/100+'Cost Input'!$K42/100*'Summary of Results'!M84</f>
        <v>225.97355519649275</v>
      </c>
      <c r="P79" s="17"/>
      <c r="Q79" s="17"/>
      <c r="R79" s="17"/>
      <c r="S79" s="41"/>
      <c r="T79" s="286"/>
      <c r="U79" s="286"/>
      <c r="V79" s="286"/>
      <c r="W79" s="286"/>
      <c r="X79" s="286"/>
      <c r="Y79" s="286"/>
      <c r="Z79" s="286"/>
    </row>
    <row r="80" spans="1:26" ht="13">
      <c r="A80" s="255"/>
      <c r="B80" s="853" t="s">
        <v>1060</v>
      </c>
      <c r="E80" s="333"/>
      <c r="F80" s="286"/>
      <c r="G80" s="399">
        <f ca="1">G69+G78+G79</f>
        <v>18694.949859701377</v>
      </c>
      <c r="H80" s="399">
        <f t="shared" ref="H80:L80" ca="1" si="12">H69+H78+H79</f>
        <v>14699.759715692311</v>
      </c>
      <c r="I80" s="399">
        <f t="shared" ca="1" si="12"/>
        <v>14420.561883141569</v>
      </c>
      <c r="J80" s="399">
        <f t="shared" ca="1" si="12"/>
        <v>14243.292577424045</v>
      </c>
      <c r="K80" s="399">
        <f t="shared" ca="1" si="12"/>
        <v>14116.269498198948</v>
      </c>
      <c r="L80" s="399">
        <f t="shared" ca="1" si="12"/>
        <v>13906.15930820876</v>
      </c>
      <c r="M80" s="399">
        <f ca="1">M69+M78+M79</f>
        <v>13771.420019413603</v>
      </c>
      <c r="P80" s="17"/>
      <c r="Q80" s="17"/>
      <c r="R80" s="17"/>
      <c r="S80" s="41"/>
      <c r="T80" s="286"/>
      <c r="U80" s="286"/>
      <c r="V80" s="286"/>
      <c r="W80" s="286"/>
      <c r="X80" s="286"/>
      <c r="Y80" s="286"/>
      <c r="Z80" s="286"/>
    </row>
    <row r="81" spans="1:26" ht="13">
      <c r="A81" s="255"/>
      <c r="B81" s="856" t="s">
        <v>75</v>
      </c>
      <c r="C81" s="54"/>
      <c r="D81" s="54"/>
      <c r="E81" s="286"/>
      <c r="F81" s="286"/>
      <c r="G81" s="1150"/>
      <c r="H81" s="1150"/>
      <c r="I81" s="1150"/>
      <c r="J81" s="1150"/>
      <c r="K81" s="1150"/>
      <c r="L81" s="1150"/>
      <c r="M81" s="1150"/>
      <c r="O81" s="255"/>
      <c r="P81" s="17"/>
      <c r="Q81" s="17"/>
      <c r="R81" s="17"/>
      <c r="S81" s="41"/>
      <c r="T81" s="286"/>
      <c r="U81" s="286"/>
      <c r="V81" s="286"/>
      <c r="W81" s="286"/>
      <c r="X81" s="286"/>
      <c r="Y81" s="286"/>
      <c r="Z81" s="286"/>
    </row>
    <row r="82" spans="1:26" ht="13">
      <c r="A82" s="255"/>
      <c r="B82" s="853" t="s">
        <v>1061</v>
      </c>
      <c r="E82" s="286"/>
      <c r="F82" s="286"/>
      <c r="G82" s="399">
        <f ca="1">'Cost Input'!$K45/100*(G78+G79)+'Cost Input'!$K46/100*G84</f>
        <v>1594.1473608646688</v>
      </c>
      <c r="H82" s="399">
        <f ca="1">'Cost Input'!$K45/100*(H78+H79)+'Cost Input'!$K46/100*H84</f>
        <v>485.78612157223012</v>
      </c>
      <c r="I82" s="399">
        <f ca="1">'Cost Input'!$K45/100*(I78+I79)+'Cost Input'!$K46/100*I84</f>
        <v>417.40597502676718</v>
      </c>
      <c r="J82" s="399">
        <f ca="1">'Cost Input'!$K45/100*(J78+J79)+'Cost Input'!$K46/100*J84</f>
        <v>375.27440157323042</v>
      </c>
      <c r="K82" s="399">
        <f ca="1">'Cost Input'!$K45/100*(K78+K79)+'Cost Input'!$K46/100*K84</f>
        <v>345.78595896537217</v>
      </c>
      <c r="L82" s="399">
        <f ca="1">'Cost Input'!$K45/100*(L78+L79)+'Cost Input'!$K46/100*L84</f>
        <v>298.46055915087561</v>
      </c>
      <c r="M82" s="399">
        <f ca="1">'Cost Input'!$K45/100*(M78+M79)+'Cost Input'!$K46/100*M84</f>
        <v>269.17890285217408</v>
      </c>
      <c r="P82" s="17"/>
      <c r="Q82" s="17"/>
      <c r="R82" s="17"/>
      <c r="S82" s="41"/>
      <c r="T82" s="286"/>
      <c r="U82" s="286"/>
      <c r="V82" s="286"/>
      <c r="W82" s="286"/>
      <c r="X82" s="286"/>
      <c r="Y82" s="286"/>
      <c r="Z82" s="286"/>
    </row>
    <row r="83" spans="1:26" ht="13">
      <c r="A83" s="255"/>
      <c r="B83" s="853" t="s">
        <v>1062</v>
      </c>
      <c r="E83" s="286"/>
      <c r="F83" s="286"/>
      <c r="G83" s="399">
        <f ca="1">G84*'Cost Input'!$K47/100</f>
        <v>998.50438258110114</v>
      </c>
      <c r="H83" s="399">
        <f ca="1">H84*'Cost Input'!$K47/100</f>
        <v>376.23957160491585</v>
      </c>
      <c r="I83" s="399">
        <f ca="1">I84*'Cost Input'!$K47/100</f>
        <v>331.39564774094515</v>
      </c>
      <c r="J83" s="399">
        <f ca="1">J84*'Cost Input'!$K47/100</f>
        <v>303.04455136171413</v>
      </c>
      <c r="K83" s="399">
        <f ca="1">K84*'Cost Input'!$K47/100</f>
        <v>282.82989484731183</v>
      </c>
      <c r="L83" s="399">
        <f ca="1">L84*'Cost Input'!$K47/100</f>
        <v>249.66652515996083</v>
      </c>
      <c r="M83" s="399">
        <f ca="1">M84*'Cost Input'!$K47/100</f>
        <v>228.64653457677733</v>
      </c>
      <c r="P83" s="17"/>
      <c r="Q83" s="17"/>
      <c r="R83" s="17"/>
      <c r="S83" s="41"/>
      <c r="T83" s="286"/>
      <c r="U83" s="286"/>
      <c r="V83" s="286"/>
      <c r="W83" s="286"/>
      <c r="X83" s="286"/>
      <c r="Y83" s="286"/>
      <c r="Z83" s="286"/>
    </row>
    <row r="84" spans="1:26" ht="13">
      <c r="A84" s="255"/>
      <c r="B84" s="853" t="s">
        <v>1063</v>
      </c>
      <c r="E84" s="286"/>
      <c r="F84" s="286"/>
      <c r="G84" s="399">
        <f ca="1">('Cost Input'!$K49/100*G52+'Cost Input'!$K50/100*G56)*1000000/'Manufacturing Cost Calculations'!G5</f>
        <v>2496.2609564527529</v>
      </c>
      <c r="H84" s="399">
        <f ca="1">('Cost Input'!$K49/100*H52+'Cost Input'!$K50/100*H56)*1000000/'Manufacturing Cost Calculations'!H5</f>
        <v>940.59892901228966</v>
      </c>
      <c r="I84" s="399">
        <f ca="1">('Cost Input'!$K49/100*I52+'Cost Input'!$K50/100*I56)*1000000/'Manufacturing Cost Calculations'!I5</f>
        <v>828.48911935236276</v>
      </c>
      <c r="J84" s="399">
        <f ca="1">('Cost Input'!$K49/100*J52+'Cost Input'!$K50/100*J56)*1000000/'Manufacturing Cost Calculations'!J5</f>
        <v>757.61137840428523</v>
      </c>
      <c r="K84" s="399">
        <f ca="1">('Cost Input'!$K49/100*K52+'Cost Input'!$K50/100*K56)*1000000/'Manufacturing Cost Calculations'!K5</f>
        <v>707.07473711827947</v>
      </c>
      <c r="L84" s="399">
        <f ca="1">('Cost Input'!$K49/100*L52+'Cost Input'!$K50/100*L56)*1000000/'Manufacturing Cost Calculations'!L5</f>
        <v>624.1663128999021</v>
      </c>
      <c r="M84" s="399">
        <f ca="1">('Cost Input'!$K49/100*M52+'Cost Input'!$K50/100*M56)*1000000/'Manufacturing Cost Calculations'!M5</f>
        <v>571.6163364419433</v>
      </c>
      <c r="X84" s="286"/>
      <c r="Y84" s="286"/>
      <c r="Z84" s="286"/>
    </row>
    <row r="85" spans="1:26" ht="13">
      <c r="A85" s="255"/>
      <c r="B85" s="853" t="s">
        <v>1064</v>
      </c>
      <c r="E85" s="286"/>
      <c r="F85" s="286"/>
      <c r="G85" s="258">
        <f t="shared" ref="G85:L85" ca="1" si="13">G82+G83+G84</f>
        <v>5088.912699898523</v>
      </c>
      <c r="H85" s="258">
        <f t="shared" ca="1" si="13"/>
        <v>1802.6246221894357</v>
      </c>
      <c r="I85" s="258">
        <f t="shared" ca="1" si="13"/>
        <v>1577.2907421200753</v>
      </c>
      <c r="J85" s="258">
        <f t="shared" ca="1" si="13"/>
        <v>1435.9303313392297</v>
      </c>
      <c r="K85" s="258">
        <f t="shared" ca="1" si="13"/>
        <v>1335.6905909309635</v>
      </c>
      <c r="L85" s="258">
        <f t="shared" ca="1" si="13"/>
        <v>1172.2933972107385</v>
      </c>
      <c r="M85" s="258">
        <f ca="1">M82+M83+M84</f>
        <v>1069.4417738708948</v>
      </c>
    </row>
    <row r="86" spans="1:26" ht="13">
      <c r="A86" s="255"/>
      <c r="B86" s="853" t="s">
        <v>1065</v>
      </c>
      <c r="E86" s="335"/>
      <c r="F86" s="286"/>
      <c r="G86" s="399">
        <f ca="1">'Cost Input'!$K51/100*G61*1000000/'Manufacturing Cost Calculations'!G5</f>
        <v>1135.3917792311966</v>
      </c>
      <c r="H86" s="399">
        <f ca="1">'Cost Input'!$K51/100*H61*1000000/'Manufacturing Cost Calculations'!H5</f>
        <v>491.70134374408127</v>
      </c>
      <c r="I86" s="399">
        <f ca="1">'Cost Input'!$K51/100*I61*1000000/'Manufacturing Cost Calculations'!I5</f>
        <v>446.55477421942845</v>
      </c>
      <c r="J86" s="399">
        <f ca="1">'Cost Input'!$K51/100*J61*1000000/'Manufacturing Cost Calculations'!J5</f>
        <v>418.12748457390063</v>
      </c>
      <c r="K86" s="399">
        <f ca="1">'Cost Input'!$K51/100*K61*1000000/'Manufacturing Cost Calculations'!K5</f>
        <v>397.91518124499061</v>
      </c>
      <c r="L86" s="399">
        <f ca="1">'Cost Input'!$K51/100*L61*1000000/'Manufacturing Cost Calculations'!L5</f>
        <v>364.86105948486431</v>
      </c>
      <c r="M86" s="399">
        <f ca="1">'Cost Input'!$K51/100*M61*1000000/'Manufacturing Cost Calculations'!M5</f>
        <v>343.97965485296527</v>
      </c>
    </row>
    <row r="87" spans="1:26" ht="13">
      <c r="A87" s="255"/>
      <c r="B87" s="853" t="s">
        <v>454</v>
      </c>
      <c r="E87" s="286"/>
      <c r="F87" s="286"/>
      <c r="G87" s="258">
        <f ca="1">G80+G85+G86</f>
        <v>24919.254338831095</v>
      </c>
      <c r="H87" s="258">
        <f t="shared" ref="H87:L87" ca="1" si="14">H80+H85+H86</f>
        <v>16994.085681625827</v>
      </c>
      <c r="I87" s="258">
        <f t="shared" ca="1" si="14"/>
        <v>16444.407399481071</v>
      </c>
      <c r="J87" s="258">
        <f t="shared" ca="1" si="14"/>
        <v>16097.350393337176</v>
      </c>
      <c r="K87" s="258">
        <f t="shared" ca="1" si="14"/>
        <v>15849.875270374903</v>
      </c>
      <c r="L87" s="258">
        <f t="shared" ca="1" si="14"/>
        <v>15443.313764904364</v>
      </c>
      <c r="M87" s="258">
        <f ca="1">M80+M85+M86</f>
        <v>15184.841448137462</v>
      </c>
    </row>
    <row r="88" spans="1:26" ht="13">
      <c r="A88" s="255"/>
      <c r="B88" s="255" t="s">
        <v>138</v>
      </c>
      <c r="C88" s="255"/>
      <c r="D88" s="255"/>
      <c r="E88" s="286"/>
      <c r="F88" s="286"/>
      <c r="G88" s="195"/>
      <c r="H88" s="195"/>
      <c r="I88" s="195"/>
      <c r="J88" s="195"/>
      <c r="K88" s="195"/>
      <c r="L88" s="195"/>
      <c r="M88" s="195"/>
      <c r="O88" s="255"/>
    </row>
    <row r="89" spans="1:26" ht="13">
      <c r="A89" s="255"/>
      <c r="B89" s="853" t="s">
        <v>1066</v>
      </c>
      <c r="F89" s="1069"/>
      <c r="G89" s="258">
        <f t="shared" ref="G89:M89" ca="1" si="15">G65</f>
        <v>12116.589315042083</v>
      </c>
      <c r="H89" s="258">
        <f t="shared" ca="1" si="15"/>
        <v>11494.596771315521</v>
      </c>
      <c r="I89" s="258">
        <f t="shared" ca="1" si="15"/>
        <v>11423.836971934843</v>
      </c>
      <c r="J89" s="258">
        <f t="shared" ca="1" si="15"/>
        <v>11375.34390729081</v>
      </c>
      <c r="K89" s="258">
        <f t="shared" ca="1" si="15"/>
        <v>11338.678816052925</v>
      </c>
      <c r="L89" s="258">
        <f t="shared" ca="1" si="15"/>
        <v>11274.114494460064</v>
      </c>
      <c r="M89" s="258">
        <f t="shared" ca="1" si="15"/>
        <v>11229.867311057849</v>
      </c>
    </row>
    <row r="90" spans="1:26" ht="13">
      <c r="A90" s="255"/>
      <c r="B90" s="853" t="s">
        <v>1067</v>
      </c>
      <c r="F90" s="1069"/>
      <c r="G90" s="258">
        <f t="shared" ref="G90:M90" ca="1" si="16">G66+G67+G68</f>
        <v>2698.0320576533713</v>
      </c>
      <c r="H90" s="258">
        <f t="shared" ca="1" si="16"/>
        <v>2202.6173871001592</v>
      </c>
      <c r="I90" s="258">
        <f t="shared" ca="1" si="16"/>
        <v>2155.5901304520221</v>
      </c>
      <c r="J90" s="258">
        <f t="shared" ca="1" si="16"/>
        <v>2124.4624422445995</v>
      </c>
      <c r="K90" s="258">
        <f t="shared" ca="1" si="16"/>
        <v>2101.521583402814</v>
      </c>
      <c r="L90" s="258">
        <f t="shared" ca="1" si="16"/>
        <v>2062.3688900450966</v>
      </c>
      <c r="M90" s="258">
        <f t="shared" ca="1" si="16"/>
        <v>2036.4534333890015</v>
      </c>
    </row>
    <row r="91" spans="1:26" ht="13">
      <c r="A91" s="255"/>
      <c r="B91" s="853" t="s">
        <v>1068</v>
      </c>
      <c r="F91" s="1069"/>
      <c r="G91" s="258">
        <f t="shared" ref="G91:M92" ca="1" si="17">G78</f>
        <v>2415.0544969395514</v>
      </c>
      <c r="H91" s="258">
        <f t="shared" ca="1" si="17"/>
        <v>581.73269391012343</v>
      </c>
      <c r="I91" s="258">
        <f t="shared" ca="1" si="17"/>
        <v>482.45496920302384</v>
      </c>
      <c r="J91" s="258">
        <f t="shared" ca="1" si="17"/>
        <v>422.83139443412819</v>
      </c>
      <c r="K91" s="258">
        <f t="shared" ca="1" si="17"/>
        <v>381.8958223711096</v>
      </c>
      <c r="L91" s="258">
        <f t="shared" ca="1" si="17"/>
        <v>317.7447579454427</v>
      </c>
      <c r="M91" s="258">
        <f t="shared" ca="1" si="17"/>
        <v>279.12571977026022</v>
      </c>
    </row>
    <row r="92" spans="1:26" ht="13">
      <c r="A92" s="255"/>
      <c r="B92" s="853" t="s">
        <v>1069</v>
      </c>
      <c r="F92" s="1069"/>
      <c r="G92" s="258">
        <f t="shared" ca="1" si="17"/>
        <v>1465.2739900663714</v>
      </c>
      <c r="H92" s="258">
        <f t="shared" ca="1" si="17"/>
        <v>420.81286336650737</v>
      </c>
      <c r="I92" s="258">
        <f t="shared" ca="1" si="17"/>
        <v>358.67981155168212</v>
      </c>
      <c r="J92" s="258">
        <f t="shared" ca="1" si="17"/>
        <v>320.65483345450832</v>
      </c>
      <c r="K92" s="258">
        <f t="shared" ca="1" si="17"/>
        <v>294.17327637209974</v>
      </c>
      <c r="L92" s="258">
        <f t="shared" ca="1" si="17"/>
        <v>251.9311657581575</v>
      </c>
      <c r="M92" s="258">
        <f t="shared" ca="1" si="17"/>
        <v>225.97355519649275</v>
      </c>
      <c r="P92" s="258"/>
    </row>
    <row r="93" spans="1:26" ht="13">
      <c r="A93" s="255"/>
      <c r="B93" s="853" t="s">
        <v>1070</v>
      </c>
      <c r="F93" s="1069"/>
      <c r="G93" s="286">
        <f t="shared" ref="G93:M95" ca="1" si="18">G82</f>
        <v>1594.1473608646688</v>
      </c>
      <c r="H93" s="286">
        <f t="shared" ca="1" si="18"/>
        <v>485.78612157223012</v>
      </c>
      <c r="I93" s="286">
        <f t="shared" ca="1" si="18"/>
        <v>417.40597502676718</v>
      </c>
      <c r="J93" s="286">
        <f t="shared" ca="1" si="18"/>
        <v>375.27440157323042</v>
      </c>
      <c r="K93" s="286">
        <f t="shared" ca="1" si="18"/>
        <v>345.78595896537217</v>
      </c>
      <c r="L93" s="286">
        <f t="shared" ca="1" si="18"/>
        <v>298.46055915087561</v>
      </c>
      <c r="M93" s="286">
        <f t="shared" ca="1" si="18"/>
        <v>269.17890285217408</v>
      </c>
      <c r="N93" s="258"/>
      <c r="P93" s="258"/>
    </row>
    <row r="94" spans="1:26" ht="13">
      <c r="A94" s="255"/>
      <c r="B94" s="853" t="s">
        <v>1071</v>
      </c>
      <c r="F94" s="1069"/>
      <c r="G94" s="258">
        <f t="shared" ca="1" si="18"/>
        <v>998.50438258110114</v>
      </c>
      <c r="H94" s="258">
        <f t="shared" ca="1" si="18"/>
        <v>376.23957160491585</v>
      </c>
      <c r="I94" s="258">
        <f t="shared" ca="1" si="18"/>
        <v>331.39564774094515</v>
      </c>
      <c r="J94" s="258">
        <f t="shared" ca="1" si="18"/>
        <v>303.04455136171413</v>
      </c>
      <c r="K94" s="258">
        <f t="shared" ca="1" si="18"/>
        <v>282.82989484731183</v>
      </c>
      <c r="L94" s="258">
        <f t="shared" ca="1" si="18"/>
        <v>249.66652515996083</v>
      </c>
      <c r="M94" s="258">
        <f t="shared" ca="1" si="18"/>
        <v>228.64653457677733</v>
      </c>
      <c r="N94" s="258"/>
      <c r="P94" s="258"/>
    </row>
    <row r="95" spans="1:26" ht="13">
      <c r="A95" s="255"/>
      <c r="B95" s="853" t="s">
        <v>1072</v>
      </c>
      <c r="F95" s="1069"/>
      <c r="G95" s="258">
        <f t="shared" ca="1" si="18"/>
        <v>2496.2609564527529</v>
      </c>
      <c r="H95" s="258">
        <f t="shared" ca="1" si="18"/>
        <v>940.59892901228966</v>
      </c>
      <c r="I95" s="258">
        <f t="shared" ca="1" si="18"/>
        <v>828.48911935236276</v>
      </c>
      <c r="J95" s="258">
        <f t="shared" ca="1" si="18"/>
        <v>757.61137840428523</v>
      </c>
      <c r="K95" s="258">
        <f t="shared" ca="1" si="18"/>
        <v>707.07473711827947</v>
      </c>
      <c r="L95" s="258">
        <f t="shared" ca="1" si="18"/>
        <v>624.1663128999021</v>
      </c>
      <c r="M95" s="258">
        <f t="shared" ca="1" si="18"/>
        <v>571.6163364419433</v>
      </c>
      <c r="N95" s="258"/>
      <c r="P95" s="258"/>
      <c r="Q95" s="331"/>
    </row>
    <row r="96" spans="1:26" ht="13">
      <c r="A96" s="255"/>
      <c r="B96" s="853" t="s">
        <v>1073</v>
      </c>
      <c r="F96" s="1069"/>
      <c r="G96" s="336">
        <f t="shared" ref="G96:M96" ca="1" si="19">G86</f>
        <v>1135.3917792311966</v>
      </c>
      <c r="H96" s="336">
        <f t="shared" ca="1" si="19"/>
        <v>491.70134374408127</v>
      </c>
      <c r="I96" s="336">
        <f t="shared" ca="1" si="19"/>
        <v>446.55477421942845</v>
      </c>
      <c r="J96" s="336">
        <f t="shared" ca="1" si="19"/>
        <v>418.12748457390063</v>
      </c>
      <c r="K96" s="336">
        <f t="shared" ca="1" si="19"/>
        <v>397.91518124499061</v>
      </c>
      <c r="L96" s="336">
        <f t="shared" ca="1" si="19"/>
        <v>364.86105948486431</v>
      </c>
      <c r="M96" s="336">
        <f t="shared" ca="1" si="19"/>
        <v>343.97965485296527</v>
      </c>
      <c r="N96" s="258"/>
    </row>
    <row r="97" spans="1:15" ht="13">
      <c r="A97" s="255"/>
      <c r="B97" s="853" t="s">
        <v>1074</v>
      </c>
      <c r="F97" s="1069"/>
      <c r="G97" s="337">
        <f ca="1">'Cost Input'!$K52/100*(SUM(G89:G96))</f>
        <v>1395.4782429745414</v>
      </c>
      <c r="H97" s="337">
        <f ca="1">'Cost Input'!$K52/100*(SUM(H89:H96))</f>
        <v>951.66879817104621</v>
      </c>
      <c r="I97" s="337">
        <f ca="1">'Cost Input'!$K52/100*(SUM(I89:I96))</f>
        <v>920.88681437093987</v>
      </c>
      <c r="J97" s="337">
        <f ca="1">'Cost Input'!$K52/100*(SUM(J89:J96))</f>
        <v>901.45162202688164</v>
      </c>
      <c r="K97" s="337">
        <f ca="1">'Cost Input'!$K52/100*(SUM(K89:K96))</f>
        <v>887.59301514099434</v>
      </c>
      <c r="L97" s="337">
        <f ca="1">'Cost Input'!$K52/100*(SUM(L89:L96))</f>
        <v>864.82557083464428</v>
      </c>
      <c r="M97" s="337">
        <f ca="1">'Cost Input'!$K52/100*(SUM(M89:M96))</f>
        <v>850.35112109569775</v>
      </c>
    </row>
    <row r="98" spans="1:15" ht="13">
      <c r="A98" s="255"/>
      <c r="B98" s="853" t="s">
        <v>368</v>
      </c>
      <c r="F98" s="1069"/>
      <c r="G98" s="258">
        <f ca="1">SUM(G89:G97)</f>
        <v>26314.732581805642</v>
      </c>
      <c r="H98" s="258">
        <f t="shared" ref="H98:M98" ca="1" si="20">SUM(H89:H97)</f>
        <v>17945.754479796873</v>
      </c>
      <c r="I98" s="258">
        <f t="shared" ca="1" si="20"/>
        <v>17365.294213852012</v>
      </c>
      <c r="J98" s="258">
        <f t="shared" ca="1" si="20"/>
        <v>16998.802015364057</v>
      </c>
      <c r="K98" s="258">
        <f t="shared" ca="1" si="20"/>
        <v>16737.468285515894</v>
      </c>
      <c r="L98" s="258">
        <f t="shared" ca="1" si="20"/>
        <v>16308.139335739008</v>
      </c>
      <c r="M98" s="258">
        <f t="shared" ca="1" si="20"/>
        <v>16035.192569233161</v>
      </c>
    </row>
    <row r="99" spans="1:15" ht="13">
      <c r="A99" s="255"/>
      <c r="B99" s="853" t="s">
        <v>1075</v>
      </c>
      <c r="G99" s="337">
        <f>'Manufacturing Cost Calculations'!G116</f>
        <v>589.46061382423511</v>
      </c>
      <c r="H99" s="337">
        <f>'Manufacturing Cost Calculations'!H116</f>
        <v>436.86956729686773</v>
      </c>
      <c r="I99" s="337">
        <f>'Manufacturing Cost Calculations'!I116</f>
        <v>419.51033695163892</v>
      </c>
      <c r="J99" s="337">
        <f>'Manufacturing Cost Calculations'!J116</f>
        <v>407.6137192863871</v>
      </c>
      <c r="K99" s="337">
        <f>'Manufacturing Cost Calculations'!K116</f>
        <v>398.61881299781658</v>
      </c>
      <c r="L99" s="337">
        <f>'Manufacturing Cost Calculations'!L116</f>
        <v>382.77949546973497</v>
      </c>
      <c r="M99" s="337">
        <f>'Manufacturing Cost Calculations'!M116</f>
        <v>371.92450357420404</v>
      </c>
    </row>
    <row r="100" spans="1:15" ht="13">
      <c r="A100" s="255"/>
      <c r="B100" s="853" t="s">
        <v>1076</v>
      </c>
      <c r="G100" s="258">
        <f ca="1">(G98+G99)*'Battery Design'!G56</f>
        <v>26904.193195629876</v>
      </c>
      <c r="H100" s="258">
        <f ca="1">(H98+H99)*'Battery Design'!H56</f>
        <v>18382.624047093741</v>
      </c>
      <c r="I100" s="258">
        <f ca="1">(I98+I99)*'Battery Design'!I56</f>
        <v>17784.804550803652</v>
      </c>
      <c r="J100" s="258">
        <f ca="1">(J98+J99)*'Battery Design'!J56</f>
        <v>17406.415734650443</v>
      </c>
      <c r="K100" s="258">
        <f ca="1">(K98+K99)*'Battery Design'!K56</f>
        <v>17136.087098513712</v>
      </c>
      <c r="L100" s="258">
        <f ca="1">(L98+L99)*'Battery Design'!L56</f>
        <v>16690.918831208743</v>
      </c>
      <c r="M100" s="258">
        <f ca="1">(M98+M99)*'Battery Design'!M56</f>
        <v>16407.117072807363</v>
      </c>
    </row>
    <row r="101" spans="1:15" ht="13">
      <c r="A101" s="255"/>
      <c r="B101" s="853" t="s">
        <v>1077</v>
      </c>
      <c r="G101" s="337">
        <f ca="1">'Manufacturing Cost Calculations'!G120</f>
        <v>40</v>
      </c>
      <c r="H101" s="337">
        <f ca="1">'Manufacturing Cost Calculations'!H120</f>
        <v>40</v>
      </c>
      <c r="I101" s="337">
        <f ca="1">'Manufacturing Cost Calculations'!I120</f>
        <v>40</v>
      </c>
      <c r="J101" s="337">
        <f ca="1">'Manufacturing Cost Calculations'!J120</f>
        <v>40</v>
      </c>
      <c r="K101" s="337">
        <f ca="1">'Manufacturing Cost Calculations'!K120</f>
        <v>40</v>
      </c>
      <c r="L101" s="337">
        <f ca="1">'Manufacturing Cost Calculations'!L120</f>
        <v>40</v>
      </c>
      <c r="M101" s="337">
        <f ca="1">'Manufacturing Cost Calculations'!M120</f>
        <v>40</v>
      </c>
    </row>
    <row r="102" spans="1:15" ht="13">
      <c r="A102" s="255"/>
      <c r="B102" s="853" t="s">
        <v>539</v>
      </c>
      <c r="G102" s="258">
        <f ca="1">G100+G101</f>
        <v>26944.193195629876</v>
      </c>
      <c r="H102" s="258">
        <f t="shared" ref="H102:M102" ca="1" si="21">H100+H101</f>
        <v>18422.624047093741</v>
      </c>
      <c r="I102" s="258">
        <f t="shared" ca="1" si="21"/>
        <v>17824.804550803652</v>
      </c>
      <c r="J102" s="258">
        <f t="shared" ca="1" si="21"/>
        <v>17446.415734650443</v>
      </c>
      <c r="K102" s="258">
        <f t="shared" ca="1" si="21"/>
        <v>17176.087098513712</v>
      </c>
      <c r="L102" s="258">
        <f t="shared" ca="1" si="21"/>
        <v>16730.918831208743</v>
      </c>
      <c r="M102" s="258">
        <f t="shared" ca="1" si="21"/>
        <v>16447.117072807363</v>
      </c>
    </row>
    <row r="103" spans="1:15" ht="13">
      <c r="A103" s="255"/>
      <c r="B103" s="853" t="s">
        <v>369</v>
      </c>
      <c r="G103" s="258">
        <f ca="1">'Prices of Cells and Modules'!G61</f>
        <v>25125.889335893316</v>
      </c>
      <c r="H103" s="258">
        <f ca="1">'Prices of Cells and Modules'!H61</f>
        <v>16961.758070522839</v>
      </c>
      <c r="I103" s="258">
        <f ca="1">'Prices of Cells and Modules'!I61</f>
        <v>16394.223956205726</v>
      </c>
      <c r="J103" s="258">
        <f ca="1">'Prices of Cells and Modules'!J61</f>
        <v>16035.709669217322</v>
      </c>
      <c r="K103" s="258">
        <f ca="1">'Prices of Cells and Modules'!K61</f>
        <v>15779.964901698457</v>
      </c>
      <c r="L103" s="258">
        <f ca="1">'Prices of Cells and Modules'!L61</f>
        <v>15359.611982758775</v>
      </c>
      <c r="M103" s="258">
        <f ca="1">'Prices of Cells and Modules'!M61</f>
        <v>15092.221036223713</v>
      </c>
    </row>
    <row r="104" spans="1:15" ht="13">
      <c r="A104" s="255"/>
      <c r="B104" s="853" t="s">
        <v>602</v>
      </c>
      <c r="G104" s="258">
        <f ca="1">'Prices of Cells and Modules'!G117</f>
        <v>22886.932730232784</v>
      </c>
      <c r="H104" s="258">
        <f ca="1">'Prices of Cells and Modules'!H117</f>
        <v>15691.568700273303</v>
      </c>
      <c r="I104" s="258">
        <f ca="1">'Prices of Cells and Modules'!I117</f>
        <v>15185.139001554067</v>
      </c>
      <c r="J104" s="258">
        <f ca="1">'Prices of Cells and Modules'!J117</f>
        <v>14864.416415570327</v>
      </c>
      <c r="K104" s="258">
        <f ca="1">'Prices of Cells and Modules'!K117</f>
        <v>14635.198714208376</v>
      </c>
      <c r="L104" s="258">
        <f ca="1">'Prices of Cells and Modules'!L117</f>
        <v>14257.573197838316</v>
      </c>
      <c r="M104" s="258">
        <f ca="1">'Prices of Cells and Modules'!M117</f>
        <v>14016.732228862729</v>
      </c>
    </row>
    <row r="105" spans="1:15" ht="13">
      <c r="A105" s="255"/>
      <c r="B105" s="1151" t="s">
        <v>630</v>
      </c>
      <c r="G105" s="258"/>
      <c r="H105" s="258"/>
      <c r="I105" s="258"/>
      <c r="J105" s="258"/>
      <c r="K105" s="258"/>
      <c r="L105" s="258"/>
      <c r="M105" s="258"/>
      <c r="O105" s="1152"/>
    </row>
    <row r="106" spans="1:15" ht="13">
      <c r="A106" s="255"/>
      <c r="B106" s="19" t="s">
        <v>1078</v>
      </c>
      <c r="G106" s="1153">
        <v>10</v>
      </c>
      <c r="H106" s="1153">
        <v>10</v>
      </c>
      <c r="I106" s="1153">
        <v>10</v>
      </c>
      <c r="J106" s="1153">
        <v>10</v>
      </c>
      <c r="K106" s="1153">
        <v>10</v>
      </c>
      <c r="L106" s="1153">
        <v>10</v>
      </c>
      <c r="M106" s="1153">
        <v>10</v>
      </c>
    </row>
    <row r="107" spans="1:15" ht="13">
      <c r="A107" s="255"/>
      <c r="B107" s="19" t="s">
        <v>1079</v>
      </c>
      <c r="G107" s="1153">
        <v>5</v>
      </c>
      <c r="H107" s="1153">
        <v>5</v>
      </c>
      <c r="I107" s="1153">
        <v>5</v>
      </c>
      <c r="J107" s="1153">
        <v>5</v>
      </c>
      <c r="K107" s="1153">
        <v>5</v>
      </c>
      <c r="L107" s="1153">
        <v>5</v>
      </c>
      <c r="M107" s="1153">
        <v>5</v>
      </c>
    </row>
    <row r="108" spans="1:15" ht="13">
      <c r="A108" s="255"/>
      <c r="B108" s="853" t="s">
        <v>1015</v>
      </c>
      <c r="G108" s="1154">
        <f ca="1">G98*(100+G106+G107)/100</f>
        <v>30261.942469076486</v>
      </c>
      <c r="H108" s="1154">
        <f t="shared" ref="H108:M108" ca="1" si="22">H98*(100+H106+H107)/100</f>
        <v>20637.617651766403</v>
      </c>
      <c r="I108" s="1154">
        <f t="shared" ca="1" si="22"/>
        <v>19970.088345929817</v>
      </c>
      <c r="J108" s="1154">
        <f t="shared" ca="1" si="22"/>
        <v>19548.622317668665</v>
      </c>
      <c r="K108" s="1154">
        <f t="shared" ca="1" si="22"/>
        <v>19248.08852834328</v>
      </c>
      <c r="L108" s="1154">
        <f t="shared" ca="1" si="22"/>
        <v>18754.360236099859</v>
      </c>
      <c r="M108" s="1154">
        <f t="shared" ca="1" si="22"/>
        <v>18440.471454618135</v>
      </c>
    </row>
    <row r="109" spans="1:15" ht="13">
      <c r="A109" s="255"/>
      <c r="B109" s="853" t="s">
        <v>1016</v>
      </c>
      <c r="G109" s="1154">
        <f ca="1">G98*(100-G106-G107)/100</f>
        <v>22367.522694534793</v>
      </c>
      <c r="H109" s="1154">
        <f t="shared" ref="H109:M109" ca="1" si="23">H98*(100-H106-H107)/100</f>
        <v>15253.891307827342</v>
      </c>
      <c r="I109" s="1154">
        <f t="shared" ca="1" si="23"/>
        <v>14760.500081774211</v>
      </c>
      <c r="J109" s="1154">
        <f t="shared" ca="1" si="23"/>
        <v>14448.981713059449</v>
      </c>
      <c r="K109" s="1154">
        <f t="shared" ca="1" si="23"/>
        <v>14226.848042688509</v>
      </c>
      <c r="L109" s="1154">
        <f t="shared" ca="1" si="23"/>
        <v>13861.918435378157</v>
      </c>
      <c r="M109" s="1154">
        <f t="shared" ca="1" si="23"/>
        <v>13629.913683848186</v>
      </c>
    </row>
    <row r="110" spans="1:15" ht="13">
      <c r="A110" s="255">
        <v>19</v>
      </c>
      <c r="B110" s="853" t="s">
        <v>1275</v>
      </c>
      <c r="G110" s="768">
        <f>'Battery Design'!G205</f>
        <v>1000</v>
      </c>
      <c r="H110" s="768">
        <f>'Battery Design'!H205</f>
        <v>20000</v>
      </c>
      <c r="I110" s="768">
        <f>'Battery Design'!I205</f>
        <v>30000</v>
      </c>
      <c r="J110" s="768">
        <f>'Battery Design'!J205</f>
        <v>40000</v>
      </c>
      <c r="K110" s="768">
        <f>'Battery Design'!K205</f>
        <v>50000</v>
      </c>
      <c r="L110" s="768">
        <f>'Battery Design'!L205</f>
        <v>75000</v>
      </c>
      <c r="M110" s="768">
        <f>'Battery Design'!M205</f>
        <v>100000</v>
      </c>
    </row>
    <row r="111" spans="1:15" ht="13">
      <c r="A111" s="255"/>
      <c r="B111" s="171" t="s">
        <v>670</v>
      </c>
      <c r="C111" s="171"/>
      <c r="D111" s="171"/>
      <c r="E111" s="171"/>
      <c r="F111" s="171"/>
      <c r="G111" s="1155">
        <f ca="1">'Manufacturing Cost Calculations'!G34/'Cost Input'!$K$16</f>
        <v>784.97632756064604</v>
      </c>
      <c r="H111" s="1155">
        <f ca="1">'Manufacturing Cost Calculations'!H34/'Cost Input'!$K$16</f>
        <v>15699.526551212919</v>
      </c>
      <c r="I111" s="1155">
        <f ca="1">'Manufacturing Cost Calculations'!I34/'Cost Input'!$K$16</f>
        <v>23549.289826819382</v>
      </c>
      <c r="J111" s="1155">
        <f ca="1">'Manufacturing Cost Calculations'!J34/'Cost Input'!$K$16</f>
        <v>31399.053102425838</v>
      </c>
      <c r="K111" s="1155">
        <f ca="1">'Manufacturing Cost Calculations'!K34/'Cost Input'!$K$16</f>
        <v>39248.816378032301</v>
      </c>
      <c r="L111" s="1155">
        <f ca="1">'Manufacturing Cost Calculations'!L34/'Cost Input'!$K$16</f>
        <v>58873.224567048448</v>
      </c>
      <c r="M111" s="1155">
        <f ca="1">'Manufacturing Cost Calculations'!M34/'Cost Input'!$K$16</f>
        <v>78497.632756064602</v>
      </c>
      <c r="O111" s="171"/>
    </row>
    <row r="112" spans="1:15" ht="13">
      <c r="A112" s="255"/>
      <c r="B112" s="171" t="s">
        <v>671</v>
      </c>
      <c r="C112" s="171"/>
      <c r="D112" s="171"/>
      <c r="E112" s="171"/>
      <c r="F112" s="171"/>
      <c r="G112" s="1156">
        <f ca="1">'Battery Design'!G209*'Battery Design'!G205/1000000</f>
        <v>9.999999999999995E-2</v>
      </c>
      <c r="H112" s="1156">
        <f ca="1">'Battery Design'!H209*'Battery Design'!H205/1000000</f>
        <v>1.9999999999999991</v>
      </c>
      <c r="I112" s="1156">
        <f ca="1">'Battery Design'!I209*'Battery Design'!I205/1000000</f>
        <v>2.9999999999999987</v>
      </c>
      <c r="J112" s="1156">
        <f ca="1">'Battery Design'!J209*'Battery Design'!J205/1000000</f>
        <v>3.9999999999999982</v>
      </c>
      <c r="K112" s="1156">
        <f ca="1">'Battery Design'!K209*'Battery Design'!K205/1000000</f>
        <v>4.9999999999999982</v>
      </c>
      <c r="L112" s="1156">
        <f ca="1">'Battery Design'!L209*'Battery Design'!L205/1000000</f>
        <v>7.4999999999999973</v>
      </c>
      <c r="M112" s="1156">
        <f ca="1">'Battery Design'!M209*'Battery Design'!M205/1000000</f>
        <v>9.9999999999999964</v>
      </c>
      <c r="O112" s="171"/>
    </row>
    <row r="113" spans="1:15" ht="13">
      <c r="A113" s="255">
        <v>18</v>
      </c>
      <c r="B113" s="1110" t="s">
        <v>667</v>
      </c>
      <c r="C113" s="171"/>
      <c r="D113" s="171"/>
      <c r="E113" s="171"/>
      <c r="F113" s="171"/>
      <c r="G113" s="1157" t="str">
        <f>'EV Charging'!G55</f>
        <v>NA</v>
      </c>
      <c r="H113" s="1157" t="str">
        <f>'EV Charging'!H55</f>
        <v>NA</v>
      </c>
      <c r="I113" s="1157" t="str">
        <f>'EV Charging'!I55</f>
        <v>NA</v>
      </c>
      <c r="J113" s="1157" t="str">
        <f>'EV Charging'!J55</f>
        <v>NA</v>
      </c>
      <c r="K113" s="1157" t="str">
        <f>'EV Charging'!K55</f>
        <v>NA</v>
      </c>
      <c r="L113" s="1157" t="str">
        <f>'EV Charging'!L55</f>
        <v>NA</v>
      </c>
      <c r="M113" s="1157" t="str">
        <f>'EV Charging'!M55</f>
        <v>NA</v>
      </c>
      <c r="O113" s="1110"/>
    </row>
    <row r="114" spans="1:15" ht="13">
      <c r="A114" s="255"/>
      <c r="B114" s="255" t="s">
        <v>981</v>
      </c>
      <c r="O114" s="255"/>
    </row>
    <row r="115" spans="1:15" ht="13">
      <c r="A115" s="255"/>
      <c r="B115" s="853" t="s">
        <v>980</v>
      </c>
      <c r="C115" s="255"/>
      <c r="G115" s="1071">
        <f>'EV Charging'!G31</f>
        <v>36</v>
      </c>
      <c r="H115" s="1071">
        <f>'EV Charging'!H31</f>
        <v>36</v>
      </c>
      <c r="I115" s="1071">
        <f>'EV Charging'!I31</f>
        <v>36</v>
      </c>
      <c r="J115" s="1071">
        <f>'EV Charging'!J31</f>
        <v>36</v>
      </c>
      <c r="K115" s="1071">
        <f>'EV Charging'!K31</f>
        <v>36</v>
      </c>
      <c r="L115" s="1071">
        <f>'EV Charging'!L31</f>
        <v>36</v>
      </c>
      <c r="M115" s="1071">
        <f>'EV Charging'!M31</f>
        <v>36</v>
      </c>
    </row>
    <row r="116" spans="1:15" ht="13">
      <c r="A116" s="255"/>
      <c r="B116" s="853" t="s">
        <v>629</v>
      </c>
      <c r="G116" s="1071">
        <f>'EV Charging'!G32</f>
        <v>44</v>
      </c>
      <c r="H116" s="1071">
        <f>'EV Charging'!H32</f>
        <v>44</v>
      </c>
      <c r="I116" s="1071">
        <f>'EV Charging'!I32</f>
        <v>44</v>
      </c>
      <c r="J116" s="1071">
        <f>'EV Charging'!J32</f>
        <v>44</v>
      </c>
      <c r="K116" s="1071">
        <f>'EV Charging'!K32</f>
        <v>44</v>
      </c>
      <c r="L116" s="1071">
        <f>'EV Charging'!L32</f>
        <v>44</v>
      </c>
      <c r="M116" s="1071">
        <f>'EV Charging'!M32</f>
        <v>44</v>
      </c>
      <c r="N116" s="171"/>
    </row>
    <row r="117" spans="1:15" ht="13">
      <c r="A117" s="255"/>
      <c r="B117" s="853" t="s">
        <v>682</v>
      </c>
      <c r="G117" s="1071">
        <f>'EV Charging'!G33</f>
        <v>56</v>
      </c>
      <c r="H117" s="1071">
        <f>'EV Charging'!H33</f>
        <v>56</v>
      </c>
      <c r="I117" s="1071">
        <f>'EV Charging'!I33</f>
        <v>56</v>
      </c>
      <c r="J117" s="1071">
        <f>'EV Charging'!J33</f>
        <v>56</v>
      </c>
      <c r="K117" s="1071">
        <f>'EV Charging'!K33</f>
        <v>56</v>
      </c>
      <c r="L117" s="1071">
        <f>'EV Charging'!L33</f>
        <v>56</v>
      </c>
      <c r="M117" s="1071">
        <f>'EV Charging'!M33</f>
        <v>56</v>
      </c>
      <c r="N117" s="171"/>
    </row>
    <row r="118" spans="1:15" ht="13">
      <c r="A118" s="255"/>
      <c r="B118" s="853" t="s">
        <v>658</v>
      </c>
      <c r="G118" s="1071">
        <f>'EV Charging'!G34</f>
        <v>1</v>
      </c>
      <c r="H118" s="1071">
        <f>'EV Charging'!H34</f>
        <v>1</v>
      </c>
      <c r="I118" s="1071">
        <f>'EV Charging'!I34</f>
        <v>1</v>
      </c>
      <c r="J118" s="1071">
        <f>'EV Charging'!J34</f>
        <v>1</v>
      </c>
      <c r="K118" s="1071">
        <f>'EV Charging'!K34</f>
        <v>1</v>
      </c>
      <c r="L118" s="1071">
        <f>'EV Charging'!L34</f>
        <v>1</v>
      </c>
      <c r="M118" s="1071">
        <f>'EV Charging'!M34</f>
        <v>1</v>
      </c>
      <c r="N118" s="171"/>
    </row>
    <row r="119" spans="1:15" ht="13">
      <c r="A119" s="255"/>
      <c r="B119" s="853" t="s">
        <v>664</v>
      </c>
      <c r="G119" s="1071">
        <f>'EV Charging'!G35</f>
        <v>0.75</v>
      </c>
      <c r="H119" s="1071">
        <f>'EV Charging'!H35</f>
        <v>0.75</v>
      </c>
      <c r="I119" s="1071">
        <f>'EV Charging'!I35</f>
        <v>0.75</v>
      </c>
      <c r="J119" s="1071">
        <f>'EV Charging'!J35</f>
        <v>0.75</v>
      </c>
      <c r="K119" s="1071">
        <f>'EV Charging'!K35</f>
        <v>0.75</v>
      </c>
      <c r="L119" s="1071">
        <f>'EV Charging'!L35</f>
        <v>0.75</v>
      </c>
      <c r="M119" s="1071">
        <f>'EV Charging'!M35</f>
        <v>0.75</v>
      </c>
    </row>
    <row r="120" spans="1:15" ht="13">
      <c r="A120" s="255"/>
      <c r="B120" s="853" t="s">
        <v>666</v>
      </c>
      <c r="G120" s="1071">
        <f>'EV Charging'!G36</f>
        <v>0.5</v>
      </c>
      <c r="H120" s="1071">
        <f>'EV Charging'!H36</f>
        <v>0.5</v>
      </c>
      <c r="I120" s="1071">
        <f>'EV Charging'!I36</f>
        <v>0.5</v>
      </c>
      <c r="J120" s="1071">
        <f>'EV Charging'!J36</f>
        <v>0.5</v>
      </c>
      <c r="K120" s="1071">
        <f>'EV Charging'!K36</f>
        <v>0.5</v>
      </c>
      <c r="L120" s="1071">
        <f>'EV Charging'!L36</f>
        <v>0.5</v>
      </c>
      <c r="M120" s="1071">
        <f>'EV Charging'!M36</f>
        <v>0.5</v>
      </c>
    </row>
    <row r="121" spans="1:15" ht="13">
      <c r="A121" s="255"/>
      <c r="B121" s="853" t="str">
        <f>'EV Charging'!B48</f>
        <v>Battery temperature at end of charging 80% SOC with no cooling, °C</v>
      </c>
      <c r="G121" s="1071">
        <f ca="1">'EV Charging'!G48</f>
        <v>42.878525294373247</v>
      </c>
      <c r="H121" s="1071">
        <f ca="1">'EV Charging'!H48</f>
        <v>42.878525294373247</v>
      </c>
      <c r="I121" s="1071">
        <f ca="1">'EV Charging'!I48</f>
        <v>42.878525294373247</v>
      </c>
      <c r="J121" s="1071">
        <f ca="1">'EV Charging'!J48</f>
        <v>42.878525294373247</v>
      </c>
      <c r="K121" s="1071">
        <f ca="1">'EV Charging'!K48</f>
        <v>42.878525294373247</v>
      </c>
      <c r="L121" s="1071">
        <f ca="1">'EV Charging'!L48</f>
        <v>42.878525294373247</v>
      </c>
      <c r="M121" s="1071">
        <f ca="1">'EV Charging'!M48</f>
        <v>42.878525294373247</v>
      </c>
    </row>
    <row r="122" spans="1:15" ht="13">
      <c r="A122" s="255"/>
      <c r="B122" s="853" t="s">
        <v>998</v>
      </c>
      <c r="G122" s="1071">
        <f ca="1">'EV Charging'!G50</f>
        <v>105.06954927495141</v>
      </c>
      <c r="H122" s="1071">
        <f ca="1">'EV Charging'!H50</f>
        <v>105.06954927495141</v>
      </c>
      <c r="I122" s="1071">
        <f ca="1">'EV Charging'!I50</f>
        <v>105.06954927495141</v>
      </c>
      <c r="J122" s="1071">
        <f ca="1">'EV Charging'!J50</f>
        <v>105.06954927495141</v>
      </c>
      <c r="K122" s="1071">
        <f ca="1">'EV Charging'!K50</f>
        <v>105.06954927495141</v>
      </c>
      <c r="L122" s="1071">
        <f ca="1">'EV Charging'!L50</f>
        <v>105.06954927495141</v>
      </c>
      <c r="M122" s="1071">
        <f ca="1">'EV Charging'!M50</f>
        <v>105.06954927495141</v>
      </c>
    </row>
    <row r="123" spans="1:15">
      <c r="G123" s="189"/>
      <c r="H123" s="189"/>
      <c r="I123" s="189"/>
      <c r="J123" s="189"/>
      <c r="K123" s="189"/>
      <c r="L123" s="189"/>
      <c r="M123" s="189"/>
    </row>
    <row r="138" spans="2:13" ht="15" thickBot="1"/>
    <row r="139" spans="2:13" ht="19" thickBot="1">
      <c r="B139" s="1310" t="s">
        <v>1002</v>
      </c>
      <c r="C139" s="1311"/>
      <c r="D139" s="1311"/>
      <c r="E139" s="1311"/>
      <c r="F139" s="1311"/>
      <c r="G139" s="1311"/>
      <c r="H139" s="1311"/>
      <c r="I139" s="1311"/>
      <c r="J139" s="1311"/>
      <c r="K139" s="1311"/>
      <c r="L139" s="1311"/>
      <c r="M139" s="1312"/>
    </row>
    <row r="140" spans="2:13" ht="20.25" customHeight="1" thickBot="1">
      <c r="B140" s="1307" t="str">
        <f>Chem!C5</f>
        <v>LiFePO4 / Graphite</v>
      </c>
      <c r="C140" s="1308"/>
      <c r="D140" s="1308"/>
      <c r="E140" s="1308"/>
      <c r="F140" s="1308"/>
      <c r="G140" s="1308"/>
      <c r="H140" s="1308"/>
      <c r="I140" s="1308"/>
      <c r="J140" s="1308"/>
      <c r="K140" s="1308"/>
      <c r="L140" s="1308"/>
      <c r="M140" s="1309"/>
    </row>
    <row r="141" spans="2:13" ht="15" customHeight="1">
      <c r="B141" s="1298" t="s">
        <v>990</v>
      </c>
      <c r="C141" s="1299"/>
      <c r="D141" s="1299"/>
      <c r="E141" s="1299"/>
      <c r="F141" s="1299"/>
      <c r="G141" s="1299"/>
      <c r="H141" s="1299"/>
      <c r="I141" s="1299"/>
      <c r="J141" s="1299"/>
      <c r="K141" s="1299"/>
      <c r="L141" s="1299"/>
      <c r="M141" s="1300"/>
    </row>
    <row r="142" spans="2:13">
      <c r="B142" s="1301"/>
      <c r="C142" s="1302"/>
      <c r="D142" s="1302"/>
      <c r="E142" s="1302"/>
      <c r="F142" s="1302"/>
      <c r="G142" s="1302"/>
      <c r="H142" s="1302"/>
      <c r="I142" s="1302"/>
      <c r="J142" s="1302"/>
      <c r="K142" s="1302"/>
      <c r="L142" s="1302"/>
      <c r="M142" s="1303"/>
    </row>
    <row r="143" spans="2:13">
      <c r="B143" s="1301"/>
      <c r="C143" s="1302"/>
      <c r="D143" s="1302"/>
      <c r="E143" s="1302"/>
      <c r="F143" s="1302"/>
      <c r="G143" s="1302"/>
      <c r="H143" s="1302"/>
      <c r="I143" s="1302"/>
      <c r="J143" s="1302"/>
      <c r="K143" s="1302"/>
      <c r="L143" s="1302"/>
      <c r="M143" s="1303"/>
    </row>
    <row r="144" spans="2:13" ht="9.75" customHeight="1" thickBot="1">
      <c r="B144" s="1301"/>
      <c r="C144" s="1302"/>
      <c r="D144" s="1302"/>
      <c r="E144" s="1302"/>
      <c r="F144" s="1302"/>
      <c r="G144" s="1302"/>
      <c r="H144" s="1302"/>
      <c r="I144" s="1302"/>
      <c r="J144" s="1302"/>
      <c r="K144" s="1302"/>
      <c r="L144" s="1302"/>
      <c r="M144" s="1303"/>
    </row>
    <row r="145" spans="1:32" ht="9" hidden="1" customHeight="1" thickBot="1">
      <c r="B145" s="1301"/>
      <c r="C145" s="1302"/>
      <c r="D145" s="1302"/>
      <c r="E145" s="1302"/>
      <c r="F145" s="1302"/>
      <c r="G145" s="1302"/>
      <c r="H145" s="1302"/>
      <c r="I145" s="1302"/>
      <c r="J145" s="1302"/>
      <c r="K145" s="1302"/>
      <c r="L145" s="1302"/>
      <c r="M145" s="1303"/>
    </row>
    <row r="146" spans="1:32" ht="27" hidden="1" customHeight="1" thickBot="1">
      <c r="B146" s="1301"/>
      <c r="C146" s="1302"/>
      <c r="D146" s="1302"/>
      <c r="E146" s="1302"/>
      <c r="F146" s="1302"/>
      <c r="G146" s="1302"/>
      <c r="H146" s="1302"/>
      <c r="I146" s="1302"/>
      <c r="J146" s="1302"/>
      <c r="K146" s="1302"/>
      <c r="L146" s="1302"/>
      <c r="M146" s="1303"/>
      <c r="O146" s="324"/>
      <c r="Z146" s="1112" t="s">
        <v>971</v>
      </c>
      <c r="AA146" s="696"/>
      <c r="AB146" s="1113"/>
      <c r="AC146" s="696"/>
      <c r="AD146" s="696"/>
      <c r="AE146" s="696" t="s">
        <v>969</v>
      </c>
      <c r="AF146" s="1114"/>
    </row>
    <row r="147" spans="1:32" ht="5.25" hidden="1" customHeight="1" thickBot="1">
      <c r="B147" s="1304"/>
      <c r="C147" s="1305"/>
      <c r="D147" s="1305"/>
      <c r="E147" s="1305"/>
      <c r="F147" s="1305"/>
      <c r="G147" s="1305"/>
      <c r="H147" s="1305"/>
      <c r="I147" s="1305"/>
      <c r="J147" s="1305"/>
      <c r="K147" s="1305"/>
      <c r="L147" s="1305"/>
      <c r="M147" s="1306"/>
      <c r="O147" s="324"/>
      <c r="Z147" s="1115" t="s">
        <v>968</v>
      </c>
      <c r="AA147" s="678" t="s">
        <v>956</v>
      </c>
      <c r="AB147" s="678" t="s">
        <v>973</v>
      </c>
      <c r="AC147" s="678" t="s">
        <v>853</v>
      </c>
      <c r="AD147" s="678" t="s">
        <v>855</v>
      </c>
      <c r="AE147" s="678" t="s">
        <v>12</v>
      </c>
      <c r="AF147" s="1116" t="s">
        <v>1003</v>
      </c>
    </row>
    <row r="148" spans="1:32" ht="18.75" customHeight="1" thickBot="1">
      <c r="B148" s="1158" t="s">
        <v>853</v>
      </c>
      <c r="C148" s="1117" t="s">
        <v>968</v>
      </c>
      <c r="D148" s="1117" t="s">
        <v>970</v>
      </c>
      <c r="E148" s="1117" t="s">
        <v>1005</v>
      </c>
      <c r="F148" s="1159" t="s">
        <v>855</v>
      </c>
      <c r="G148" s="1295" t="s">
        <v>1006</v>
      </c>
      <c r="H148" s="1296"/>
      <c r="I148" s="1296"/>
      <c r="J148" s="1296"/>
      <c r="K148" s="1296"/>
      <c r="L148" s="1296"/>
      <c r="M148" s="1297"/>
      <c r="Z148" s="1118" t="s">
        <v>967</v>
      </c>
      <c r="AA148" s="1119">
        <f t="array" aca="1" ref="AA148" ca="1">SUM(IF(INDIRECT(Z148&amp;"!" &amp; AB148 &amp;  ":" &amp; AB148) = $AE$146, 1, 0))-1</f>
        <v>22</v>
      </c>
      <c r="AB148" s="1119" t="s">
        <v>974</v>
      </c>
      <c r="AC148" s="1119" t="s">
        <v>972</v>
      </c>
      <c r="AD148" s="1119" t="s">
        <v>900</v>
      </c>
      <c r="AE148" s="1119">
        <f ca="1">AA148</f>
        <v>22</v>
      </c>
      <c r="AF148" s="1116">
        <v>1</v>
      </c>
    </row>
    <row r="149" spans="1:32" ht="18.75" customHeight="1">
      <c r="B149" s="1217" t="s">
        <v>1004</v>
      </c>
      <c r="C149" s="1218" t="s">
        <v>967</v>
      </c>
      <c r="D149" s="1219">
        <v>1</v>
      </c>
      <c r="E149" s="1220"/>
      <c r="F149" s="1221"/>
      <c r="G149" s="1222">
        <v>1</v>
      </c>
      <c r="H149" s="1223">
        <v>2</v>
      </c>
      <c r="I149" s="1223">
        <v>3</v>
      </c>
      <c r="J149" s="1223">
        <v>4</v>
      </c>
      <c r="K149" s="1223">
        <v>5</v>
      </c>
      <c r="L149" s="1223">
        <v>6</v>
      </c>
      <c r="M149" s="1224">
        <v>7</v>
      </c>
      <c r="Z149" s="1120" t="str">
        <f>"'EV Charging'"</f>
        <v>'EV Charging'</v>
      </c>
      <c r="AA149" s="1119">
        <f t="array" aca="1" ref="AA149" ca="1">SUM(IF(INDIRECT(Z149&amp;"!" &amp; AB149 &amp;  ":" &amp; AB149) = $AE$146, 1, 0))</f>
        <v>7</v>
      </c>
      <c r="AB149" s="1119" t="s">
        <v>974</v>
      </c>
      <c r="AC149" s="1119" t="s">
        <v>972</v>
      </c>
      <c r="AD149" s="1119" t="s">
        <v>907</v>
      </c>
      <c r="AE149" s="1119">
        <f t="shared" ref="AE149:AE155" ca="1" si="24">AE148+ AA149 + IF(AA149=0, 1, 0)</f>
        <v>29</v>
      </c>
      <c r="AF149" s="1116">
        <v>7</v>
      </c>
    </row>
    <row r="150" spans="1:32" ht="15" customHeight="1">
      <c r="B150" s="1229" t="str">
        <f t="shared" ref="B150:B181" ca="1" si="25">IFERROR(IF(BB156= "", IF(ISBLANK(INDIRECT(C150 &amp;"!$" &amp;INDEX($AC$148:$AC$171, MATCH(C150, $Z$148:$Z$158, 0))&amp;  D150)), "", INDIRECT(C150 &amp;"!$" &amp;INDEX($AC$148:$AC$171, MATCH(C150, $Z$148:$Z$158, 0))&amp;  D150)), INDIRECT(C150 &amp;"!$" &amp;DD156&amp;  D150)), "")</f>
        <v>Couple Name</v>
      </c>
      <c r="C150" s="1225" t="str">
        <f ca="1">IF(ROW(E150) - ROW(B149)&gt; INDEX($AE$148:$AE$173, MATCH(C149, $Z$148:$Z$158, 0)), INDEX($Z$148:$Z$158, MATCH(C149, $Z$148:$Z$158, 0) + 1), C149)</f>
        <v>Chem</v>
      </c>
      <c r="D150" s="1225">
        <f ca="1">IFERROR(MATCH("x",INDIRECT(C150&amp;"!$"&amp;INDEX($AB$148:$AB$171,MATCH(C150,$Z$148:$Z$158,0))&amp;IF(NOT(C150=C149),1,D149+1)&amp;":$"&amp;INDEX($AB$148:$AB$171,MATCH(C150,$Z$148:$Z$158,0))&amp;"20000"),0)+IF(NOT(C150=C149),0,D149), "")</f>
        <v>5</v>
      </c>
      <c r="E150" s="1225">
        <f t="shared" ref="E150:E181" ca="1" si="26">IFERROR(INDEX( $AF$148:$AF$163,MATCH(C150, $Z$148:$Z$162, 0)), "")</f>
        <v>1</v>
      </c>
      <c r="F150" s="1227" t="str">
        <f t="shared" ref="F150:F181" ca="1" si="27">IFERROR(IF(NOT(E150 = 1), "",  IF(ISBLANK(INDIRECT(C150 &amp;"!$" &amp;INDEX($AD$148:$AD$171, MATCH(C150, $Z$148:$Z$158, 0))&amp;  D150)), "",INDIRECT(C150 &amp;"!$" &amp;INDEX($AD$148:$AD$171, MATCH(C150, $Z$148:$Z$158, 0))&amp;  D150))),  "")</f>
        <v>LiFePO4 / Graphite</v>
      </c>
      <c r="G150" s="1227" t="str">
        <f t="shared" ref="G150:M159" ca="1" si="28">IFERROR(IF(NOT($E150 = 7), "",INDIRECT($C150 &amp;"!" &amp;ADDRESS($D150,  COLUMN(INDIRECT(INDEX($AD$148:$AD$171, MATCH($C150, $Z$148:$Z$158, 0)) &amp; $D150)) +  G$149 - 1))), "")</f>
        <v/>
      </c>
      <c r="H150" s="1227" t="str">
        <f t="shared" ca="1" si="28"/>
        <v/>
      </c>
      <c r="I150" s="1227" t="str">
        <f t="shared" ca="1" si="28"/>
        <v/>
      </c>
      <c r="J150" s="1227" t="str">
        <f t="shared" ca="1" si="28"/>
        <v/>
      </c>
      <c r="K150" s="1227" t="str">
        <f t="shared" ca="1" si="28"/>
        <v/>
      </c>
      <c r="L150" s="1227" t="str">
        <f t="shared" ca="1" si="28"/>
        <v/>
      </c>
      <c r="M150" s="1227" t="str">
        <f t="shared" ca="1" si="28"/>
        <v/>
      </c>
      <c r="Z150" s="1121" t="str">
        <f>"'Battery Design'"</f>
        <v>'Battery Design'</v>
      </c>
      <c r="AA150" s="1119">
        <f t="array" aca="1" ref="AA150" ca="1">SUM(IF(INDIRECT(Z150&amp;"!" &amp; AB150 &amp;  ":" &amp; AB150) = $AE$146, 1, 0))</f>
        <v>34</v>
      </c>
      <c r="AB150" s="1119" t="s">
        <v>974</v>
      </c>
      <c r="AC150" s="1119" t="s">
        <v>972</v>
      </c>
      <c r="AD150" s="1119" t="s">
        <v>907</v>
      </c>
      <c r="AE150" s="1119">
        <f t="shared" ca="1" si="24"/>
        <v>63</v>
      </c>
      <c r="AF150" s="1116">
        <v>7</v>
      </c>
    </row>
    <row r="151" spans="1:32" ht="15" customHeight="1">
      <c r="B151" s="1229" t="str">
        <f t="shared" ca="1" si="25"/>
        <v>Positive electrode active material weight %</v>
      </c>
      <c r="C151" s="1225" t="str">
        <f t="shared" ref="C151:C182" ca="1" si="29">IFERROR(IF(ROW(E151) - ROW($E$150) &gt; INDEX($AE$148:$AE$173, MATCH(C150, $Z$148:$Z$158, 0)), INDEX($Z$148:$Z$158, MATCH(C150, $Z$148:$Z$158, 0) + 1), C150), "")</f>
        <v>Chem</v>
      </c>
      <c r="D151" s="1225">
        <f ca="1">IFERROR(MATCH("x",INDIRECT(C151&amp;"!$"&amp;INDEX($AB$148:$AB$171,MATCH(C151,$Z$148:$Z$158,0))&amp;IF(NOT(C151=C150),1,D150+1)&amp;":$"&amp;INDEX($AB$148:$AB$171,MATCH(C151,$Z$148:$Z$158,0))&amp;"20000"),0)+IF(NOT(C151=C150),0,D150), "")</f>
        <v>10</v>
      </c>
      <c r="E151" s="1225">
        <f t="shared" ca="1" si="26"/>
        <v>1</v>
      </c>
      <c r="F151" s="1227">
        <f t="shared" ca="1" si="27"/>
        <v>96</v>
      </c>
      <c r="G151" s="1227" t="str">
        <f t="shared" ca="1" si="28"/>
        <v/>
      </c>
      <c r="H151" s="1227" t="str">
        <f t="shared" ca="1" si="28"/>
        <v/>
      </c>
      <c r="I151" s="1227" t="str">
        <f t="shared" ca="1" si="28"/>
        <v/>
      </c>
      <c r="J151" s="1227" t="str">
        <f t="shared" ca="1" si="28"/>
        <v/>
      </c>
      <c r="K151" s="1227" t="str">
        <f t="shared" ca="1" si="28"/>
        <v/>
      </c>
      <c r="L151" s="1227" t="str">
        <f t="shared" ca="1" si="28"/>
        <v/>
      </c>
      <c r="M151" s="1227" t="str">
        <f t="shared" ca="1" si="28"/>
        <v/>
      </c>
      <c r="Z151" s="1121" t="s">
        <v>975</v>
      </c>
      <c r="AA151" s="1119">
        <f t="array" aca="1" ref="AA151" ca="1">SUM(IF(INDIRECT(Z151&amp;"!" &amp; AB151 &amp;  ":" &amp; AB151) = $AE$146, 1, 0))</f>
        <v>3</v>
      </c>
      <c r="AB151" s="1119" t="s">
        <v>974</v>
      </c>
      <c r="AC151" s="1119" t="s">
        <v>972</v>
      </c>
      <c r="AD151" s="1119" t="s">
        <v>997</v>
      </c>
      <c r="AE151" s="1119">
        <f t="shared" ca="1" si="24"/>
        <v>66</v>
      </c>
      <c r="AF151" s="1116">
        <v>7</v>
      </c>
    </row>
    <row r="152" spans="1:32" ht="15" customHeight="1">
      <c r="B152" s="1229" t="str">
        <f t="shared" ca="1" si="25"/>
        <v>Positive foil material</v>
      </c>
      <c r="C152" s="1225" t="str">
        <f t="shared" ca="1" si="29"/>
        <v>Chem</v>
      </c>
      <c r="D152" s="1225">
        <f ca="1">IFERROR(MATCH("x",INDIRECT(C152&amp;"!$"&amp;INDEX($AB$148:$AB$171,MATCH(C152,$Z$148:$Z$158,0))&amp;IF(NOT(C152=C151),1,D151+1)&amp;":$"&amp;INDEX($AB$148:$AB$171,MATCH(C152,$Z$148:$Z$158,0))&amp;"20000"),0)+IF(NOT(C152=C151),0,D151), "")</f>
        <v>23</v>
      </c>
      <c r="E152" s="1225">
        <f t="shared" ca="1" si="26"/>
        <v>1</v>
      </c>
      <c r="F152" s="1227" t="str">
        <f t="shared" ca="1" si="27"/>
        <v>Aluminum</v>
      </c>
      <c r="G152" s="1227" t="str">
        <f t="shared" ca="1" si="28"/>
        <v/>
      </c>
      <c r="H152" s="1227" t="str">
        <f t="shared" ca="1" si="28"/>
        <v/>
      </c>
      <c r="I152" s="1227" t="str">
        <f t="shared" ca="1" si="28"/>
        <v/>
      </c>
      <c r="J152" s="1227" t="str">
        <f t="shared" ca="1" si="28"/>
        <v/>
      </c>
      <c r="K152" s="1227" t="str">
        <f t="shared" ca="1" si="28"/>
        <v/>
      </c>
      <c r="L152" s="1227" t="str">
        <f t="shared" ca="1" si="28"/>
        <v/>
      </c>
      <c r="M152" s="1227" t="str">
        <f t="shared" ca="1" si="28"/>
        <v/>
      </c>
      <c r="Z152" s="1121" t="s">
        <v>976</v>
      </c>
      <c r="AA152" s="1119">
        <f t="array" aca="1" ref="AA152" ca="1">SUM(IF(INDIRECT(Z152&amp;"!" &amp; AB152 &amp;  ":" &amp; AB152) = $AE$146, 1, 0))</f>
        <v>1</v>
      </c>
      <c r="AB152" s="1119" t="s">
        <v>974</v>
      </c>
      <c r="AC152" s="1119" t="s">
        <v>972</v>
      </c>
      <c r="AD152" s="1119" t="s">
        <v>907</v>
      </c>
      <c r="AE152" s="1119">
        <f t="shared" ca="1" si="24"/>
        <v>67</v>
      </c>
      <c r="AF152" s="1116">
        <v>7</v>
      </c>
    </row>
    <row r="153" spans="1:32" ht="15" customHeight="1">
      <c r="B153" s="1229" t="str">
        <f t="shared" ca="1" si="25"/>
        <v>Positive foil thickness, mm</v>
      </c>
      <c r="C153" s="1225" t="str">
        <f t="shared" ca="1" si="29"/>
        <v>Chem</v>
      </c>
      <c r="D153" s="1225">
        <f t="shared" ref="D153:D216" ca="1" si="30">IFERROR(MATCH("x",INDIRECT(C153&amp;"!$"&amp;INDEX($AB$148:$AB$171,MATCH(C153,$Z$148:$Z$158,0))&amp;IF(NOT(C153=C152),1,D152+1)&amp;":$"&amp;INDEX($AB$148:$AB$171,MATCH(C153,$Z$148:$Z$158,0))&amp;"20000"),0)+IF(NOT(C153=C152),0,D152), "")</f>
        <v>24</v>
      </c>
      <c r="E153" s="1225">
        <f t="shared" ca="1" si="26"/>
        <v>1</v>
      </c>
      <c r="F153" s="1227">
        <f t="shared" ca="1" si="27"/>
        <v>15</v>
      </c>
      <c r="G153" s="1227" t="str">
        <f t="shared" ca="1" si="28"/>
        <v/>
      </c>
      <c r="H153" s="1227" t="str">
        <f t="shared" ca="1" si="28"/>
        <v/>
      </c>
      <c r="I153" s="1227" t="str">
        <f t="shared" ca="1" si="28"/>
        <v/>
      </c>
      <c r="J153" s="1227" t="str">
        <f t="shared" ca="1" si="28"/>
        <v/>
      </c>
      <c r="K153" s="1227" t="str">
        <f t="shared" ca="1" si="28"/>
        <v/>
      </c>
      <c r="L153" s="1227" t="str">
        <f t="shared" ca="1" si="28"/>
        <v/>
      </c>
      <c r="M153" s="1227" t="str">
        <f t="shared" ca="1" si="28"/>
        <v/>
      </c>
      <c r="Z153" s="1121" t="str">
        <f>"'Manufacturing Cost Calculations'"</f>
        <v>'Manufacturing Cost Calculations'</v>
      </c>
      <c r="AA153" s="1119">
        <f t="array" aca="1" ref="AA153" ca="1">SUM(IF(INDIRECT(Z153&amp;"!" &amp; AB153 &amp;  ":" &amp; AB153) = $AE$146, 1, 0))</f>
        <v>3</v>
      </c>
      <c r="AB153" s="1119" t="s">
        <v>974</v>
      </c>
      <c r="AC153" s="1119" t="s">
        <v>972</v>
      </c>
      <c r="AD153" s="1119" t="s">
        <v>907</v>
      </c>
      <c r="AE153" s="1119">
        <f t="shared" ca="1" si="24"/>
        <v>70</v>
      </c>
      <c r="AF153" s="1116">
        <v>7</v>
      </c>
    </row>
    <row r="154" spans="1:32" ht="15" customHeight="1">
      <c r="A154" s="1124"/>
      <c r="B154" s="1230" t="str">
        <f t="shared" ca="1" si="25"/>
        <v>Negative electrode active weight %</v>
      </c>
      <c r="C154" s="1226" t="str">
        <f t="shared" ca="1" si="29"/>
        <v>Chem</v>
      </c>
      <c r="D154" s="1226">
        <f t="shared" ca="1" si="30"/>
        <v>33</v>
      </c>
      <c r="E154" s="1226">
        <f t="shared" ca="1" si="26"/>
        <v>1</v>
      </c>
      <c r="F154" s="1228">
        <f t="shared" ca="1" si="27"/>
        <v>100</v>
      </c>
      <c r="G154" s="1228" t="str">
        <f t="shared" ca="1" si="28"/>
        <v/>
      </c>
      <c r="H154" s="1228" t="str">
        <f t="shared" ca="1" si="28"/>
        <v/>
      </c>
      <c r="I154" s="1228" t="str">
        <f t="shared" ca="1" si="28"/>
        <v/>
      </c>
      <c r="J154" s="1228" t="str">
        <f t="shared" ca="1" si="28"/>
        <v/>
      </c>
      <c r="K154" s="1228" t="str">
        <f t="shared" ca="1" si="28"/>
        <v/>
      </c>
      <c r="L154" s="1228" t="str">
        <f t="shared" ca="1" si="28"/>
        <v/>
      </c>
      <c r="M154" s="1228" t="str">
        <f t="shared" ca="1" si="28"/>
        <v/>
      </c>
      <c r="Z154" s="1125" t="str">
        <f>"'Cost Breakdown'"</f>
        <v>'Cost Breakdown'</v>
      </c>
      <c r="AA154" s="1126">
        <f t="array" aca="1" ref="AA154" ca="1">SUM(IF(INDIRECT(Z154&amp;"!" &amp; AB154 &amp;  ":" &amp; AB154) = $AE$146, 1, 0))</f>
        <v>14</v>
      </c>
      <c r="AB154" s="1126" t="s">
        <v>974</v>
      </c>
      <c r="AC154" s="1126" t="s">
        <v>972</v>
      </c>
      <c r="AD154" s="1126" t="s">
        <v>907</v>
      </c>
      <c r="AE154" s="1126">
        <f t="shared" ca="1" si="24"/>
        <v>84</v>
      </c>
      <c r="AF154" s="1127">
        <v>7</v>
      </c>
    </row>
    <row r="155" spans="1:32" ht="15" customHeight="1">
      <c r="A155" s="1124"/>
      <c r="B155" s="1230" t="str">
        <f t="shared" ca="1" si="25"/>
        <v>Negative foil material</v>
      </c>
      <c r="C155" s="1226" t="str">
        <f t="shared" ca="1" si="29"/>
        <v>Chem</v>
      </c>
      <c r="D155" s="1226">
        <f t="shared" ca="1" si="30"/>
        <v>44</v>
      </c>
      <c r="E155" s="1226">
        <f t="shared" ca="1" si="26"/>
        <v>1</v>
      </c>
      <c r="F155" s="1228" t="str">
        <f t="shared" ca="1" si="27"/>
        <v>Copper</v>
      </c>
      <c r="G155" s="1228" t="str">
        <f t="shared" ca="1" si="28"/>
        <v/>
      </c>
      <c r="H155" s="1228" t="str">
        <f t="shared" ca="1" si="28"/>
        <v/>
      </c>
      <c r="I155" s="1228" t="str">
        <f t="shared" ca="1" si="28"/>
        <v/>
      </c>
      <c r="J155" s="1228" t="str">
        <f t="shared" ca="1" si="28"/>
        <v/>
      </c>
      <c r="K155" s="1228" t="str">
        <f t="shared" ca="1" si="28"/>
        <v/>
      </c>
      <c r="L155" s="1228" t="str">
        <f t="shared" ca="1" si="28"/>
        <v/>
      </c>
      <c r="M155" s="1228" t="str">
        <f t="shared" ca="1" si="28"/>
        <v/>
      </c>
      <c r="Z155" s="1128" t="s">
        <v>977</v>
      </c>
      <c r="AA155" s="1126">
        <f t="array" aca="1" ref="AA155" ca="1">SUM(IF(INDIRECT(Z155&amp;"!" &amp; AB155 &amp;  ":" &amp; AB155) = $AE$146, 1, 0))</f>
        <v>6</v>
      </c>
      <c r="AB155" s="1126" t="s">
        <v>974</v>
      </c>
      <c r="AC155" s="1126" t="s">
        <v>972</v>
      </c>
      <c r="AD155" s="1126" t="s">
        <v>907</v>
      </c>
      <c r="AE155" s="1126">
        <f t="shared" ca="1" si="24"/>
        <v>90</v>
      </c>
      <c r="AF155" s="1127">
        <v>7</v>
      </c>
    </row>
    <row r="156" spans="1:32" ht="15" customHeight="1" thickBot="1">
      <c r="A156" s="1124"/>
      <c r="B156" s="1230" t="str">
        <f t="shared" ca="1" si="25"/>
        <v>Negative foil thickness</v>
      </c>
      <c r="C156" s="1226" t="str">
        <f t="shared" ca="1" si="29"/>
        <v>Chem</v>
      </c>
      <c r="D156" s="1226">
        <f t="shared" ca="1" si="30"/>
        <v>45</v>
      </c>
      <c r="E156" s="1226">
        <f t="shared" ca="1" si="26"/>
        <v>1</v>
      </c>
      <c r="F156" s="1228">
        <f t="shared" ca="1" si="27"/>
        <v>10</v>
      </c>
      <c r="G156" s="1228" t="str">
        <f t="shared" ca="1" si="28"/>
        <v/>
      </c>
      <c r="H156" s="1228" t="str">
        <f t="shared" ca="1" si="28"/>
        <v/>
      </c>
      <c r="I156" s="1228" t="str">
        <f t="shared" ca="1" si="28"/>
        <v/>
      </c>
      <c r="J156" s="1228" t="str">
        <f t="shared" ca="1" si="28"/>
        <v/>
      </c>
      <c r="K156" s="1228" t="str">
        <f t="shared" ca="1" si="28"/>
        <v/>
      </c>
      <c r="L156" s="1228" t="str">
        <f t="shared" ca="1" si="28"/>
        <v/>
      </c>
      <c r="M156" s="1228" t="str">
        <f t="shared" ca="1" si="28"/>
        <v/>
      </c>
      <c r="Z156" s="1129"/>
      <c r="AA156" s="1130"/>
      <c r="AB156" s="1130"/>
      <c r="AC156" s="1130"/>
      <c r="AD156" s="1130"/>
      <c r="AE156" s="1130"/>
      <c r="AF156" s="1131"/>
    </row>
    <row r="157" spans="1:32" ht="15" customHeight="1">
      <c r="A157" s="1124"/>
      <c r="B157" s="1230" t="str">
        <f t="shared" ca="1" si="25"/>
        <v>Separator thickness, mm</v>
      </c>
      <c r="C157" s="1226" t="str">
        <f t="shared" ca="1" si="29"/>
        <v>Chem</v>
      </c>
      <c r="D157" s="1226">
        <f t="shared" ca="1" si="30"/>
        <v>49</v>
      </c>
      <c r="E157" s="1226">
        <f t="shared" ca="1" si="26"/>
        <v>1</v>
      </c>
      <c r="F157" s="1228">
        <f t="shared" ca="1" si="27"/>
        <v>20</v>
      </c>
      <c r="G157" s="1228" t="str">
        <f t="shared" ca="1" si="28"/>
        <v/>
      </c>
      <c r="H157" s="1228" t="str">
        <f t="shared" ca="1" si="28"/>
        <v/>
      </c>
      <c r="I157" s="1228" t="str">
        <f t="shared" ca="1" si="28"/>
        <v/>
      </c>
      <c r="J157" s="1228" t="str">
        <f t="shared" ca="1" si="28"/>
        <v/>
      </c>
      <c r="K157" s="1228" t="str">
        <f t="shared" ca="1" si="28"/>
        <v/>
      </c>
      <c r="L157" s="1228" t="str">
        <f t="shared" ca="1" si="28"/>
        <v/>
      </c>
      <c r="M157" s="1228" t="str">
        <f t="shared" ca="1" si="28"/>
        <v/>
      </c>
    </row>
    <row r="158" spans="1:32" ht="15" customHeight="1">
      <c r="A158" s="1124"/>
      <c r="B158" s="1230" t="str">
        <f t="shared" ca="1" si="25"/>
        <v>Open circuit voltage at 50% SOC, V</v>
      </c>
      <c r="C158" s="1226" t="str">
        <f t="shared" ca="1" si="29"/>
        <v>Chem</v>
      </c>
      <c r="D158" s="1226">
        <f t="shared" ca="1" si="30"/>
        <v>61</v>
      </c>
      <c r="E158" s="1226">
        <f t="shared" ca="1" si="26"/>
        <v>1</v>
      </c>
      <c r="F158" s="1228">
        <f t="shared" ca="1" si="27"/>
        <v>3.282</v>
      </c>
      <c r="G158" s="1228" t="str">
        <f t="shared" ca="1" si="28"/>
        <v/>
      </c>
      <c r="H158" s="1228" t="str">
        <f t="shared" ca="1" si="28"/>
        <v/>
      </c>
      <c r="I158" s="1228" t="str">
        <f t="shared" ca="1" si="28"/>
        <v/>
      </c>
      <c r="J158" s="1228" t="str">
        <f t="shared" ca="1" si="28"/>
        <v/>
      </c>
      <c r="K158" s="1228" t="str">
        <f t="shared" ca="1" si="28"/>
        <v/>
      </c>
      <c r="L158" s="1228" t="str">
        <f t="shared" ca="1" si="28"/>
        <v/>
      </c>
      <c r="M158" s="1228" t="str">
        <f t="shared" ca="1" si="28"/>
        <v/>
      </c>
    </row>
    <row r="159" spans="1:32" ht="15" customHeight="1">
      <c r="A159" s="1124"/>
      <c r="B159" s="1230" t="str">
        <f t="shared" ca="1" si="25"/>
        <v>ASI 50% SOC, 10-sec burst</v>
      </c>
      <c r="C159" s="1226" t="str">
        <f t="shared" ca="1" si="29"/>
        <v>Chem</v>
      </c>
      <c r="D159" s="1226">
        <f t="shared" ca="1" si="30"/>
        <v>73</v>
      </c>
      <c r="E159" s="1226">
        <f t="shared" ca="1" si="26"/>
        <v>1</v>
      </c>
      <c r="F159" s="1228">
        <f t="shared" ca="1" si="27"/>
        <v>25</v>
      </c>
      <c r="G159" s="1228" t="str">
        <f t="shared" ca="1" si="28"/>
        <v/>
      </c>
      <c r="H159" s="1228" t="str">
        <f t="shared" ca="1" si="28"/>
        <v/>
      </c>
      <c r="I159" s="1228" t="str">
        <f t="shared" ca="1" si="28"/>
        <v/>
      </c>
      <c r="J159" s="1228" t="str">
        <f t="shared" ca="1" si="28"/>
        <v/>
      </c>
      <c r="K159" s="1228" t="str">
        <f t="shared" ca="1" si="28"/>
        <v/>
      </c>
      <c r="L159" s="1228" t="str">
        <f t="shared" ca="1" si="28"/>
        <v/>
      </c>
      <c r="M159" s="1228" t="str">
        <f t="shared" ca="1" si="28"/>
        <v/>
      </c>
    </row>
    <row r="160" spans="1:32" ht="15" customHeight="1">
      <c r="A160" s="1124"/>
      <c r="B160" s="1230" t="str">
        <f t="shared" ca="1" si="25"/>
        <v>Maximum charging current density, mA/cm²</v>
      </c>
      <c r="C160" s="1226" t="str">
        <f t="shared" ca="1" si="29"/>
        <v>Chem</v>
      </c>
      <c r="D160" s="1226">
        <f t="shared" ca="1" si="30"/>
        <v>78</v>
      </c>
      <c r="E160" s="1226">
        <f t="shared" ca="1" si="26"/>
        <v>1</v>
      </c>
      <c r="F160" s="1228">
        <f t="shared" ca="1" si="27"/>
        <v>9</v>
      </c>
      <c r="G160" s="1228" t="str">
        <f t="shared" ref="G160:M169" ca="1" si="31">IFERROR(IF(NOT($E160 = 7), "",INDIRECT($C160 &amp;"!" &amp;ADDRESS($D160,  COLUMN(INDIRECT(INDEX($AD$148:$AD$171, MATCH($C160, $Z$148:$Z$158, 0)) &amp; $D160)) +  G$149 - 1))), "")</f>
        <v/>
      </c>
      <c r="H160" s="1228" t="str">
        <f t="shared" ca="1" si="31"/>
        <v/>
      </c>
      <c r="I160" s="1228" t="str">
        <f t="shared" ca="1" si="31"/>
        <v/>
      </c>
      <c r="J160" s="1228" t="str">
        <f t="shared" ca="1" si="31"/>
        <v/>
      </c>
      <c r="K160" s="1228" t="str">
        <f t="shared" ca="1" si="31"/>
        <v/>
      </c>
      <c r="L160" s="1228" t="str">
        <f t="shared" ca="1" si="31"/>
        <v/>
      </c>
      <c r="M160" s="1228" t="str">
        <f t="shared" ca="1" si="31"/>
        <v/>
      </c>
    </row>
    <row r="161" spans="1:31" ht="15" customHeight="1">
      <c r="A161" s="1124"/>
      <c r="B161" s="1230" t="str">
        <f t="shared" ca="1" si="25"/>
        <v>Cost of active material for positive electrode, $/kg</v>
      </c>
      <c r="C161" s="1226" t="str">
        <f t="shared" ca="1" si="29"/>
        <v>Chem</v>
      </c>
      <c r="D161" s="1226">
        <f t="shared" ca="1" si="30"/>
        <v>94</v>
      </c>
      <c r="E161" s="1226">
        <f t="shared" ca="1" si="26"/>
        <v>1</v>
      </c>
      <c r="F161" s="1228">
        <f t="shared" ca="1" si="27"/>
        <v>7</v>
      </c>
      <c r="G161" s="1228" t="str">
        <f t="shared" ca="1" si="31"/>
        <v/>
      </c>
      <c r="H161" s="1228" t="str">
        <f t="shared" ca="1" si="31"/>
        <v/>
      </c>
      <c r="I161" s="1228" t="str">
        <f t="shared" ca="1" si="31"/>
        <v/>
      </c>
      <c r="J161" s="1228" t="str">
        <f t="shared" ca="1" si="31"/>
        <v/>
      </c>
      <c r="K161" s="1228" t="str">
        <f t="shared" ca="1" si="31"/>
        <v/>
      </c>
      <c r="L161" s="1228" t="str">
        <f t="shared" ca="1" si="31"/>
        <v/>
      </c>
      <c r="M161" s="1228" t="str">
        <f t="shared" ca="1" si="31"/>
        <v/>
      </c>
    </row>
    <row r="162" spans="1:31" ht="15" customHeight="1">
      <c r="A162" s="1124"/>
      <c r="B162" s="1230" t="str">
        <f t="shared" ca="1" si="25"/>
        <v>Cost of carbon additive for positive electrode, $/kg</v>
      </c>
      <c r="C162" s="1226" t="str">
        <f t="shared" ca="1" si="29"/>
        <v>Chem</v>
      </c>
      <c r="D162" s="1226">
        <f t="shared" ca="1" si="30"/>
        <v>95</v>
      </c>
      <c r="E162" s="1226">
        <f t="shared" ca="1" si="26"/>
        <v>1</v>
      </c>
      <c r="F162" s="1228">
        <f t="shared" ca="1" si="27"/>
        <v>6.6</v>
      </c>
      <c r="G162" s="1228" t="str">
        <f t="shared" ca="1" si="31"/>
        <v/>
      </c>
      <c r="H162" s="1228" t="str">
        <f t="shared" ca="1" si="31"/>
        <v/>
      </c>
      <c r="I162" s="1228" t="str">
        <f t="shared" ca="1" si="31"/>
        <v/>
      </c>
      <c r="J162" s="1228" t="str">
        <f t="shared" ca="1" si="31"/>
        <v/>
      </c>
      <c r="K162" s="1228" t="str">
        <f t="shared" ca="1" si="31"/>
        <v/>
      </c>
      <c r="L162" s="1228" t="str">
        <f t="shared" ca="1" si="31"/>
        <v/>
      </c>
      <c r="M162" s="1228" t="str">
        <f t="shared" ca="1" si="31"/>
        <v/>
      </c>
      <c r="AB162" s="1122"/>
      <c r="AC162" s="1122"/>
      <c r="AD162" s="1122"/>
      <c r="AE162" s="1122"/>
    </row>
    <row r="163" spans="1:31" ht="15" customHeight="1">
      <c r="A163" s="1124"/>
      <c r="B163" s="1230" t="str">
        <f t="shared" ca="1" si="25"/>
        <v>Cost of binder for positive electrode $/kg</v>
      </c>
      <c r="C163" s="1226" t="str">
        <f t="shared" ca="1" si="29"/>
        <v>Chem</v>
      </c>
      <c r="D163" s="1226">
        <f t="shared" ca="1" si="30"/>
        <v>96</v>
      </c>
      <c r="E163" s="1226">
        <f t="shared" ca="1" si="26"/>
        <v>1</v>
      </c>
      <c r="F163" s="1228">
        <f t="shared" ca="1" si="27"/>
        <v>9.5</v>
      </c>
      <c r="G163" s="1228" t="str">
        <f t="shared" ca="1" si="31"/>
        <v/>
      </c>
      <c r="H163" s="1228" t="str">
        <f t="shared" ca="1" si="31"/>
        <v/>
      </c>
      <c r="I163" s="1228" t="str">
        <f t="shared" ca="1" si="31"/>
        <v/>
      </c>
      <c r="J163" s="1228" t="str">
        <f t="shared" ca="1" si="31"/>
        <v/>
      </c>
      <c r="K163" s="1228" t="str">
        <f t="shared" ca="1" si="31"/>
        <v/>
      </c>
      <c r="L163" s="1228" t="str">
        <f t="shared" ca="1" si="31"/>
        <v/>
      </c>
      <c r="M163" s="1228" t="str">
        <f t="shared" ca="1" si="31"/>
        <v/>
      </c>
      <c r="AB163" s="1122"/>
      <c r="AC163" s="1122"/>
      <c r="AD163" s="1122"/>
      <c r="AE163" s="1122"/>
    </row>
    <row r="164" spans="1:31" ht="15" customHeight="1">
      <c r="A164" s="1124"/>
      <c r="B164" s="1230" t="str">
        <f t="shared" ca="1" si="25"/>
        <v>Cost of solvent of positive electrode $/kg</v>
      </c>
      <c r="C164" s="1226" t="str">
        <f t="shared" ca="1" si="29"/>
        <v>Chem</v>
      </c>
      <c r="D164" s="1226">
        <f t="shared" ca="1" si="30"/>
        <v>97</v>
      </c>
      <c r="E164" s="1226">
        <f t="shared" ca="1" si="26"/>
        <v>1</v>
      </c>
      <c r="F164" s="1228">
        <f t="shared" ca="1" si="27"/>
        <v>3.1</v>
      </c>
      <c r="G164" s="1228" t="str">
        <f t="shared" ca="1" si="31"/>
        <v/>
      </c>
      <c r="H164" s="1228" t="str">
        <f t="shared" ca="1" si="31"/>
        <v/>
      </c>
      <c r="I164" s="1228" t="str">
        <f t="shared" ca="1" si="31"/>
        <v/>
      </c>
      <c r="J164" s="1228" t="str">
        <f t="shared" ca="1" si="31"/>
        <v/>
      </c>
      <c r="K164" s="1228" t="str">
        <f t="shared" ca="1" si="31"/>
        <v/>
      </c>
      <c r="L164" s="1228" t="str">
        <f t="shared" ca="1" si="31"/>
        <v/>
      </c>
      <c r="M164" s="1228" t="str">
        <f t="shared" ca="1" si="31"/>
        <v/>
      </c>
    </row>
    <row r="165" spans="1:31" ht="15" customHeight="1">
      <c r="A165" s="1124"/>
      <c r="B165" s="1230" t="str">
        <f t="shared" ca="1" si="25"/>
        <v>Cost of active material for negative electrode, $/kg</v>
      </c>
      <c r="C165" s="1226" t="str">
        <f t="shared" ca="1" si="29"/>
        <v>Chem</v>
      </c>
      <c r="D165" s="1226">
        <f t="shared" ca="1" si="30"/>
        <v>99</v>
      </c>
      <c r="E165" s="1226">
        <f t="shared" ca="1" si="26"/>
        <v>1</v>
      </c>
      <c r="F165" s="1228">
        <f t="shared" ca="1" si="27"/>
        <v>0</v>
      </c>
      <c r="G165" s="1228" t="str">
        <f t="shared" ca="1" si="31"/>
        <v/>
      </c>
      <c r="H165" s="1228" t="str">
        <f t="shared" ca="1" si="31"/>
        <v/>
      </c>
      <c r="I165" s="1228" t="str">
        <f t="shared" ca="1" si="31"/>
        <v/>
      </c>
      <c r="J165" s="1228" t="str">
        <f t="shared" ca="1" si="31"/>
        <v/>
      </c>
      <c r="K165" s="1228" t="str">
        <f t="shared" ca="1" si="31"/>
        <v/>
      </c>
      <c r="L165" s="1228" t="str">
        <f t="shared" ca="1" si="31"/>
        <v/>
      </c>
      <c r="M165" s="1228" t="str">
        <f t="shared" ca="1" si="31"/>
        <v/>
      </c>
    </row>
    <row r="166" spans="1:31" ht="15" customHeight="1">
      <c r="A166" s="1124"/>
      <c r="B166" s="1230" t="str">
        <f t="shared" ca="1" si="25"/>
        <v>Cost of carbon additive for negative electrode, $/kg</v>
      </c>
      <c r="C166" s="1226" t="str">
        <f t="shared" ca="1" si="29"/>
        <v>Chem</v>
      </c>
      <c r="D166" s="1226">
        <f t="shared" ca="1" si="30"/>
        <v>100</v>
      </c>
      <c r="E166" s="1226">
        <f t="shared" ca="1" si="26"/>
        <v>1</v>
      </c>
      <c r="F166" s="1228">
        <f t="shared" ca="1" si="27"/>
        <v>6.6</v>
      </c>
      <c r="G166" s="1228" t="str">
        <f t="shared" ca="1" si="31"/>
        <v/>
      </c>
      <c r="H166" s="1228" t="str">
        <f t="shared" ca="1" si="31"/>
        <v/>
      </c>
      <c r="I166" s="1228" t="str">
        <f t="shared" ca="1" si="31"/>
        <v/>
      </c>
      <c r="J166" s="1228" t="str">
        <f t="shared" ca="1" si="31"/>
        <v/>
      </c>
      <c r="K166" s="1228" t="str">
        <f t="shared" ca="1" si="31"/>
        <v/>
      </c>
      <c r="L166" s="1228" t="str">
        <f t="shared" ca="1" si="31"/>
        <v/>
      </c>
      <c r="M166" s="1228" t="str">
        <f t="shared" ca="1" si="31"/>
        <v/>
      </c>
    </row>
    <row r="167" spans="1:31" ht="15" customHeight="1">
      <c r="A167" s="1124"/>
      <c r="B167" s="1230" t="str">
        <f t="shared" ca="1" si="25"/>
        <v>Cost of binder for negative electrode $/kg</v>
      </c>
      <c r="C167" s="1226" t="str">
        <f t="shared" ca="1" si="29"/>
        <v>Chem</v>
      </c>
      <c r="D167" s="1226">
        <f t="shared" ca="1" si="30"/>
        <v>101</v>
      </c>
      <c r="E167" s="1226">
        <f t="shared" ca="1" si="26"/>
        <v>1</v>
      </c>
      <c r="F167" s="1228">
        <f t="shared" ca="1" si="27"/>
        <v>10</v>
      </c>
      <c r="G167" s="1228" t="str">
        <f t="shared" ca="1" si="31"/>
        <v/>
      </c>
      <c r="H167" s="1228" t="str">
        <f t="shared" ca="1" si="31"/>
        <v/>
      </c>
      <c r="I167" s="1228" t="str">
        <f t="shared" ca="1" si="31"/>
        <v/>
      </c>
      <c r="J167" s="1228" t="str">
        <f t="shared" ca="1" si="31"/>
        <v/>
      </c>
      <c r="K167" s="1228" t="str">
        <f t="shared" ca="1" si="31"/>
        <v/>
      </c>
      <c r="L167" s="1228" t="str">
        <f t="shared" ca="1" si="31"/>
        <v/>
      </c>
      <c r="M167" s="1228" t="str">
        <f t="shared" ca="1" si="31"/>
        <v/>
      </c>
    </row>
    <row r="168" spans="1:31" ht="15" customHeight="1">
      <c r="A168" s="1124"/>
      <c r="B168" s="1230" t="str">
        <f t="shared" ca="1" si="25"/>
        <v>Cost of solvent of negative electrode $/kg</v>
      </c>
      <c r="C168" s="1226" t="str">
        <f t="shared" ca="1" si="29"/>
        <v>Chem</v>
      </c>
      <c r="D168" s="1226">
        <f t="shared" ca="1" si="30"/>
        <v>102</v>
      </c>
      <c r="E168" s="1226">
        <f t="shared" ca="1" si="26"/>
        <v>1</v>
      </c>
      <c r="F168" s="1228">
        <f t="shared" ca="1" si="27"/>
        <v>0</v>
      </c>
      <c r="G168" s="1228" t="str">
        <f t="shared" ca="1" si="31"/>
        <v/>
      </c>
      <c r="H168" s="1228" t="str">
        <f t="shared" ca="1" si="31"/>
        <v/>
      </c>
      <c r="I168" s="1228" t="str">
        <f t="shared" ca="1" si="31"/>
        <v/>
      </c>
      <c r="J168" s="1228" t="str">
        <f t="shared" ca="1" si="31"/>
        <v/>
      </c>
      <c r="K168" s="1228" t="str">
        <f t="shared" ca="1" si="31"/>
        <v/>
      </c>
      <c r="L168" s="1228" t="str">
        <f t="shared" ca="1" si="31"/>
        <v/>
      </c>
      <c r="M168" s="1228" t="str">
        <f t="shared" ca="1" si="31"/>
        <v/>
      </c>
    </row>
    <row r="169" spans="1:31" ht="15" customHeight="1">
      <c r="A169" s="1124"/>
      <c r="B169" s="1230" t="str">
        <f t="shared" ca="1" si="25"/>
        <v>Positive current collector foil, $/m²</v>
      </c>
      <c r="C169" s="1226" t="str">
        <f t="shared" ca="1" si="29"/>
        <v>Chem</v>
      </c>
      <c r="D169" s="1226">
        <f t="shared" ca="1" si="30"/>
        <v>103</v>
      </c>
      <c r="E169" s="1226">
        <f t="shared" ca="1" si="26"/>
        <v>1</v>
      </c>
      <c r="F169" s="1228">
        <f t="shared" ca="1" si="27"/>
        <v>0.3</v>
      </c>
      <c r="G169" s="1228" t="str">
        <f t="shared" ca="1" si="31"/>
        <v/>
      </c>
      <c r="H169" s="1228" t="str">
        <f t="shared" ca="1" si="31"/>
        <v/>
      </c>
      <c r="I169" s="1228" t="str">
        <f t="shared" ca="1" si="31"/>
        <v/>
      </c>
      <c r="J169" s="1228" t="str">
        <f t="shared" ca="1" si="31"/>
        <v/>
      </c>
      <c r="K169" s="1228" t="str">
        <f t="shared" ca="1" si="31"/>
        <v/>
      </c>
      <c r="L169" s="1228" t="str">
        <f t="shared" ca="1" si="31"/>
        <v/>
      </c>
      <c r="M169" s="1228" t="str">
        <f t="shared" ca="1" si="31"/>
        <v/>
      </c>
    </row>
    <row r="170" spans="1:31" ht="15" customHeight="1">
      <c r="A170" s="1124"/>
      <c r="B170" s="1230" t="str">
        <f t="shared" ca="1" si="25"/>
        <v>Negative current collector foil, $/m²</v>
      </c>
      <c r="C170" s="1226" t="str">
        <f t="shared" ca="1" si="29"/>
        <v>Chem</v>
      </c>
      <c r="D170" s="1226">
        <f t="shared" ca="1" si="30"/>
        <v>104</v>
      </c>
      <c r="E170" s="1226">
        <f t="shared" ca="1" si="26"/>
        <v>1</v>
      </c>
      <c r="F170" s="1228">
        <f t="shared" ca="1" si="27"/>
        <v>1.2</v>
      </c>
      <c r="G170" s="1228" t="str">
        <f t="shared" ref="G170:M179" ca="1" si="32">IFERROR(IF(NOT($E170 = 7), "",INDIRECT($C170 &amp;"!" &amp;ADDRESS($D170,  COLUMN(INDIRECT(INDEX($AD$148:$AD$171, MATCH($C170, $Z$148:$Z$158, 0)) &amp; $D170)) +  G$149 - 1))), "")</f>
        <v/>
      </c>
      <c r="H170" s="1228" t="str">
        <f t="shared" ca="1" si="32"/>
        <v/>
      </c>
      <c r="I170" s="1228" t="str">
        <f t="shared" ca="1" si="32"/>
        <v/>
      </c>
      <c r="J170" s="1228" t="str">
        <f t="shared" ca="1" si="32"/>
        <v/>
      </c>
      <c r="K170" s="1228" t="str">
        <f t="shared" ca="1" si="32"/>
        <v/>
      </c>
      <c r="L170" s="1228" t="str">
        <f t="shared" ca="1" si="32"/>
        <v/>
      </c>
      <c r="M170" s="1228" t="str">
        <f t="shared" ca="1" si="32"/>
        <v/>
      </c>
    </row>
    <row r="171" spans="1:31" ht="15" customHeight="1">
      <c r="A171" s="1124"/>
      <c r="B171" s="1230" t="str">
        <f t="shared" ca="1" si="25"/>
        <v>Separators, $/m²</v>
      </c>
      <c r="C171" s="1226" t="str">
        <f t="shared" ca="1" si="29"/>
        <v>Chem</v>
      </c>
      <c r="D171" s="1226">
        <f t="shared" ca="1" si="30"/>
        <v>105</v>
      </c>
      <c r="E171" s="1226">
        <f t="shared" ca="1" si="26"/>
        <v>1</v>
      </c>
      <c r="F171" s="1228">
        <f t="shared" ca="1" si="27"/>
        <v>10</v>
      </c>
      <c r="G171" s="1228" t="str">
        <f t="shared" ca="1" si="32"/>
        <v/>
      </c>
      <c r="H171" s="1228" t="str">
        <f t="shared" ca="1" si="32"/>
        <v/>
      </c>
      <c r="I171" s="1228" t="str">
        <f t="shared" ca="1" si="32"/>
        <v/>
      </c>
      <c r="J171" s="1228" t="str">
        <f t="shared" ca="1" si="32"/>
        <v/>
      </c>
      <c r="K171" s="1228" t="str">
        <f t="shared" ca="1" si="32"/>
        <v/>
      </c>
      <c r="L171" s="1228" t="str">
        <f t="shared" ca="1" si="32"/>
        <v/>
      </c>
      <c r="M171" s="1228" t="str">
        <f t="shared" ca="1" si="32"/>
        <v/>
      </c>
    </row>
    <row r="172" spans="1:31" ht="15" customHeight="1">
      <c r="A172" s="1124"/>
      <c r="B172" s="1230" t="str">
        <f t="shared" ca="1" si="25"/>
        <v>Electrolyte, $/L</v>
      </c>
      <c r="C172" s="1226" t="str">
        <f t="shared" ca="1" si="29"/>
        <v>Chem</v>
      </c>
      <c r="D172" s="1226">
        <f t="shared" ca="1" si="30"/>
        <v>106</v>
      </c>
      <c r="E172" s="1226">
        <f t="shared" ca="1" si="26"/>
        <v>1</v>
      </c>
      <c r="F172" s="1228">
        <f t="shared" ca="1" si="27"/>
        <v>15</v>
      </c>
      <c r="G172" s="1228" t="str">
        <f t="shared" ca="1" si="32"/>
        <v/>
      </c>
      <c r="H172" s="1228" t="str">
        <f t="shared" ca="1" si="32"/>
        <v/>
      </c>
      <c r="I172" s="1228" t="str">
        <f t="shared" ca="1" si="32"/>
        <v/>
      </c>
      <c r="J172" s="1228" t="str">
        <f t="shared" ca="1" si="32"/>
        <v/>
      </c>
      <c r="K172" s="1228" t="str">
        <f t="shared" ca="1" si="32"/>
        <v/>
      </c>
      <c r="L172" s="1228" t="str">
        <f t="shared" ca="1" si="32"/>
        <v/>
      </c>
      <c r="M172" s="1228" t="str">
        <f t="shared" ca="1" si="32"/>
        <v/>
      </c>
    </row>
    <row r="173" spans="1:31" ht="15" customHeight="1">
      <c r="A173" s="1124"/>
      <c r="B173" s="1230" t="str">
        <f t="shared" ca="1" si="25"/>
        <v>Charging rate: 1C rate (0), desired charging time (1)</v>
      </c>
      <c r="C173" s="1226" t="str">
        <f t="shared" ca="1" si="29"/>
        <v>'EV Charging'</v>
      </c>
      <c r="D173" s="1226">
        <f ca="1">IFERROR(MATCH("x",INDIRECT(C173&amp;"!$"&amp;INDEX($AB$148:$AB$171,MATCH(C173,$Z$148:$Z$158,0))&amp;IF(NOT(C173=C172),1,D172+1)&amp;":$"&amp;INDEX($AB$148:$AB$171,MATCH(C173,$Z$148:$Z$158,0))&amp;"20000"),0)+IF(NOT(C173=C172),0,D172), "")</f>
        <v>10</v>
      </c>
      <c r="E173" s="1226">
        <f t="shared" ca="1" si="26"/>
        <v>7</v>
      </c>
      <c r="F173" s="1228" t="str">
        <f t="shared" ca="1" si="27"/>
        <v/>
      </c>
      <c r="G173" s="1228">
        <f t="shared" ca="1" si="32"/>
        <v>0</v>
      </c>
      <c r="H173" s="1228">
        <f t="shared" ca="1" si="32"/>
        <v>0</v>
      </c>
      <c r="I173" s="1228">
        <f t="shared" ca="1" si="32"/>
        <v>0</v>
      </c>
      <c r="J173" s="1228">
        <f t="shared" ca="1" si="32"/>
        <v>0</v>
      </c>
      <c r="K173" s="1228">
        <f t="shared" ca="1" si="32"/>
        <v>0</v>
      </c>
      <c r="L173" s="1228">
        <f t="shared" ca="1" si="32"/>
        <v>0</v>
      </c>
      <c r="M173" s="1228">
        <f t="shared" ca="1" si="32"/>
        <v>0</v>
      </c>
    </row>
    <row r="174" spans="1:31" ht="23.25" customHeight="1">
      <c r="A174" s="1124"/>
      <c r="B174" s="1230" t="str">
        <f t="shared" ca="1" si="25"/>
        <v>Current density to achieve desired charging time with design for discharge, mA/cm²</v>
      </c>
      <c r="C174" s="1226" t="str">
        <f t="shared" ca="1" si="29"/>
        <v>'EV Charging'</v>
      </c>
      <c r="D174" s="1226">
        <f t="shared" ca="1" si="30"/>
        <v>11</v>
      </c>
      <c r="E174" s="1226">
        <f t="shared" ca="1" si="26"/>
        <v>7</v>
      </c>
      <c r="F174" s="1228" t="str">
        <f t="shared" ca="1" si="27"/>
        <v/>
      </c>
      <c r="G174" s="1228">
        <f t="shared" ca="1" si="32"/>
        <v>8.7596023789907562</v>
      </c>
      <c r="H174" s="1228">
        <f t="shared" ca="1" si="32"/>
        <v>8.7596023789907562</v>
      </c>
      <c r="I174" s="1228">
        <f t="shared" ca="1" si="32"/>
        <v>8.7596023789907562</v>
      </c>
      <c r="J174" s="1228">
        <f t="shared" ca="1" si="32"/>
        <v>8.7596023789907562</v>
      </c>
      <c r="K174" s="1228">
        <f t="shared" ca="1" si="32"/>
        <v>8.7596023789907562</v>
      </c>
      <c r="L174" s="1228">
        <f t="shared" ca="1" si="32"/>
        <v>8.7596023789907562</v>
      </c>
      <c r="M174" s="1228">
        <f t="shared" ca="1" si="32"/>
        <v>8.7596023789907562</v>
      </c>
    </row>
    <row r="175" spans="1:31" ht="29.25" customHeight="1">
      <c r="A175" s="1124"/>
      <c r="B175" s="1230" t="str">
        <f t="shared" ca="1" si="25"/>
        <v>Total time charging 80% SOC (15 to 95% SOC, 94% useable), min</v>
      </c>
      <c r="C175" s="1226" t="str">
        <f t="shared" ca="1" si="29"/>
        <v>'EV Charging'</v>
      </c>
      <c r="D175" s="1226">
        <f t="shared" ca="1" si="30"/>
        <v>33</v>
      </c>
      <c r="E175" s="1226">
        <f t="shared" ca="1" si="26"/>
        <v>7</v>
      </c>
      <c r="F175" s="1228" t="str">
        <f t="shared" ca="1" si="27"/>
        <v/>
      </c>
      <c r="G175" s="1228">
        <f t="shared" ca="1" si="32"/>
        <v>56</v>
      </c>
      <c r="H175" s="1228">
        <f t="shared" ca="1" si="32"/>
        <v>56</v>
      </c>
      <c r="I175" s="1228">
        <f t="shared" ca="1" si="32"/>
        <v>56</v>
      </c>
      <c r="J175" s="1228">
        <f t="shared" ca="1" si="32"/>
        <v>56</v>
      </c>
      <c r="K175" s="1228">
        <f t="shared" ca="1" si="32"/>
        <v>56</v>
      </c>
      <c r="L175" s="1228">
        <f t="shared" ca="1" si="32"/>
        <v>56</v>
      </c>
      <c r="M175" s="1228">
        <f t="shared" ca="1" si="32"/>
        <v>56</v>
      </c>
    </row>
    <row r="176" spans="1:31" ht="15" customHeight="1">
      <c r="A176" s="1124"/>
      <c r="B176" s="1230" t="str">
        <f t="shared" ca="1" si="25"/>
        <v>Initial pack temperature, °C</v>
      </c>
      <c r="C176" s="1226" t="str">
        <f t="shared" ca="1" si="29"/>
        <v>'EV Charging'</v>
      </c>
      <c r="D176" s="1226">
        <f t="shared" ca="1" si="30"/>
        <v>43</v>
      </c>
      <c r="E176" s="1226">
        <f t="shared" ca="1" si="26"/>
        <v>7</v>
      </c>
      <c r="F176" s="1228" t="str">
        <f t="shared" ca="1" si="27"/>
        <v/>
      </c>
      <c r="G176" s="1228">
        <f t="shared" ca="1" si="32"/>
        <v>15</v>
      </c>
      <c r="H176" s="1228">
        <f t="shared" ca="1" si="32"/>
        <v>15</v>
      </c>
      <c r="I176" s="1228">
        <f t="shared" ca="1" si="32"/>
        <v>15</v>
      </c>
      <c r="J176" s="1228">
        <f t="shared" ca="1" si="32"/>
        <v>15</v>
      </c>
      <c r="K176" s="1228">
        <f t="shared" ca="1" si="32"/>
        <v>15</v>
      </c>
      <c r="L176" s="1228">
        <f t="shared" ca="1" si="32"/>
        <v>15</v>
      </c>
      <c r="M176" s="1228">
        <f t="shared" ca="1" si="32"/>
        <v>15</v>
      </c>
    </row>
    <row r="177" spans="1:13" ht="29.25" customHeight="1">
      <c r="A177" s="1124"/>
      <c r="B177" s="1230" t="str">
        <f t="shared" ca="1" si="25"/>
        <v>Battery temperature at end of charging 80% SOC with no cooling, °C</v>
      </c>
      <c r="C177" s="1226" t="str">
        <f t="shared" ca="1" si="29"/>
        <v>'EV Charging'</v>
      </c>
      <c r="D177" s="1226">
        <f t="shared" ca="1" si="30"/>
        <v>48</v>
      </c>
      <c r="E177" s="1226">
        <f t="shared" ca="1" si="26"/>
        <v>7</v>
      </c>
      <c r="F177" s="1228" t="str">
        <f t="shared" ca="1" si="27"/>
        <v/>
      </c>
      <c r="G177" s="1228">
        <f t="shared" ca="1" si="32"/>
        <v>42.878525294373247</v>
      </c>
      <c r="H177" s="1228">
        <f t="shared" ca="1" si="32"/>
        <v>42.878525294373247</v>
      </c>
      <c r="I177" s="1228">
        <f t="shared" ca="1" si="32"/>
        <v>42.878525294373247</v>
      </c>
      <c r="J177" s="1228">
        <f t="shared" ca="1" si="32"/>
        <v>42.878525294373247</v>
      </c>
      <c r="K177" s="1228">
        <f t="shared" ca="1" si="32"/>
        <v>42.878525294373247</v>
      </c>
      <c r="L177" s="1228">
        <f t="shared" ca="1" si="32"/>
        <v>42.878525294373247</v>
      </c>
      <c r="M177" s="1228">
        <f t="shared" ca="1" si="32"/>
        <v>42.878525294373247</v>
      </c>
    </row>
    <row r="178" spans="1:13" ht="15" customHeight="1">
      <c r="A178" s="1124"/>
      <c r="B178" s="1230" t="str">
        <f t="shared" ca="1" si="25"/>
        <v>Charger power output for all packs, kW</v>
      </c>
      <c r="C178" s="1226" t="str">
        <f t="shared" ca="1" si="29"/>
        <v>'EV Charging'</v>
      </c>
      <c r="D178" s="1226">
        <f t="shared" ca="1" si="30"/>
        <v>50</v>
      </c>
      <c r="E178" s="1226">
        <f t="shared" ca="1" si="26"/>
        <v>7</v>
      </c>
      <c r="F178" s="1228" t="str">
        <f t="shared" ca="1" si="27"/>
        <v/>
      </c>
      <c r="G178" s="1228">
        <f t="shared" ca="1" si="32"/>
        <v>105.06954927495141</v>
      </c>
      <c r="H178" s="1228">
        <f t="shared" ca="1" si="32"/>
        <v>105.06954927495141</v>
      </c>
      <c r="I178" s="1228">
        <f t="shared" ca="1" si="32"/>
        <v>105.06954927495141</v>
      </c>
      <c r="J178" s="1228">
        <f t="shared" ca="1" si="32"/>
        <v>105.06954927495141</v>
      </c>
      <c r="K178" s="1228">
        <f t="shared" ca="1" si="32"/>
        <v>105.06954927495141</v>
      </c>
      <c r="L178" s="1228">
        <f t="shared" ca="1" si="32"/>
        <v>105.06954927495141</v>
      </c>
      <c r="M178" s="1228">
        <f t="shared" ca="1" si="32"/>
        <v>105.06954927495141</v>
      </c>
    </row>
    <row r="179" spans="1:13" ht="15" customHeight="1">
      <c r="A179" s="1124"/>
      <c r="B179" s="1230" t="str">
        <f t="shared" ca="1" si="25"/>
        <v>Extra cost of meeting fast charging requirements, $</v>
      </c>
      <c r="C179" s="1226" t="str">
        <f t="shared" ca="1" si="29"/>
        <v>'EV Charging'</v>
      </c>
      <c r="D179" s="1226">
        <f t="shared" ca="1" si="30"/>
        <v>55</v>
      </c>
      <c r="E179" s="1226">
        <f t="shared" ca="1" si="26"/>
        <v>7</v>
      </c>
      <c r="F179" s="1228" t="str">
        <f t="shared" ca="1" si="27"/>
        <v/>
      </c>
      <c r="G179" s="1228" t="str">
        <f t="shared" ca="1" si="32"/>
        <v>NA</v>
      </c>
      <c r="H179" s="1228" t="str">
        <f t="shared" ca="1" si="32"/>
        <v>NA</v>
      </c>
      <c r="I179" s="1228" t="str">
        <f t="shared" ca="1" si="32"/>
        <v>NA</v>
      </c>
      <c r="J179" s="1228" t="str">
        <f t="shared" ca="1" si="32"/>
        <v>NA</v>
      </c>
      <c r="K179" s="1228" t="str">
        <f t="shared" ca="1" si="32"/>
        <v>NA</v>
      </c>
      <c r="L179" s="1228" t="str">
        <f t="shared" ca="1" si="32"/>
        <v>NA</v>
      </c>
      <c r="M179" s="1228" t="str">
        <f t="shared" ca="1" si="32"/>
        <v>NA</v>
      </c>
    </row>
    <row r="180" spans="1:13" ht="15" customHeight="1">
      <c r="A180" s="1124"/>
      <c r="B180" s="1230" t="str">
        <f t="shared" ca="1" si="25"/>
        <v>Vehicle type (microHEV, HEV-HP, PHEV, EV)</v>
      </c>
      <c r="C180" s="1226" t="str">
        <f t="shared" ca="1" si="29"/>
        <v>'Battery Design'</v>
      </c>
      <c r="D180" s="1226">
        <f t="shared" ca="1" si="30"/>
        <v>62</v>
      </c>
      <c r="E180" s="1226">
        <f t="shared" ca="1" si="26"/>
        <v>7</v>
      </c>
      <c r="F180" s="1228" t="str">
        <f t="shared" ca="1" si="27"/>
        <v/>
      </c>
      <c r="G180" s="1228" t="str">
        <f t="shared" ref="G180:M189" ca="1" si="33">IFERROR(IF(NOT($E180 = 7), "",INDIRECT($C180 &amp;"!" &amp;ADDRESS($D180,  COLUMN(INDIRECT(INDEX($AD$148:$AD$171, MATCH($C180, $Z$148:$Z$158, 0)) &amp; $D180)) +  G$149 - 1))), "")</f>
        <v>EV</v>
      </c>
      <c r="H180" s="1228" t="str">
        <f t="shared" ca="1" si="33"/>
        <v>EV</v>
      </c>
      <c r="I180" s="1228" t="str">
        <f t="shared" ca="1" si="33"/>
        <v>EV</v>
      </c>
      <c r="J180" s="1228" t="str">
        <f t="shared" ca="1" si="33"/>
        <v>EV</v>
      </c>
      <c r="K180" s="1228" t="str">
        <f t="shared" ca="1" si="33"/>
        <v>EV</v>
      </c>
      <c r="L180" s="1228" t="str">
        <f t="shared" ca="1" si="33"/>
        <v>EV</v>
      </c>
      <c r="M180" s="1228" t="str">
        <f t="shared" ca="1" si="33"/>
        <v>EV</v>
      </c>
    </row>
    <row r="181" spans="1:13" ht="15" customHeight="1">
      <c r="A181" s="1124"/>
      <c r="B181" s="1230" t="str">
        <f t="shared" ca="1" si="25"/>
        <v>Number of modules per battery pack</v>
      </c>
      <c r="C181" s="1226" t="str">
        <f t="shared" ca="1" si="29"/>
        <v>'Battery Design'</v>
      </c>
      <c r="D181" s="1226">
        <f t="shared" ca="1" si="30"/>
        <v>72</v>
      </c>
      <c r="E181" s="1226">
        <f t="shared" ca="1" si="26"/>
        <v>7</v>
      </c>
      <c r="F181" s="1228" t="str">
        <f t="shared" ca="1" si="27"/>
        <v/>
      </c>
      <c r="G181" s="1228">
        <f t="shared" ca="1" si="33"/>
        <v>20</v>
      </c>
      <c r="H181" s="1228">
        <f t="shared" ca="1" si="33"/>
        <v>20</v>
      </c>
      <c r="I181" s="1228">
        <f t="shared" ca="1" si="33"/>
        <v>20</v>
      </c>
      <c r="J181" s="1228">
        <f t="shared" ca="1" si="33"/>
        <v>20</v>
      </c>
      <c r="K181" s="1228">
        <f t="shared" ca="1" si="33"/>
        <v>20</v>
      </c>
      <c r="L181" s="1228">
        <f t="shared" ca="1" si="33"/>
        <v>20</v>
      </c>
      <c r="M181" s="1228">
        <f t="shared" ca="1" si="33"/>
        <v>20</v>
      </c>
    </row>
    <row r="182" spans="1:13" ht="15" customHeight="1">
      <c r="A182" s="1124"/>
      <c r="B182" s="1230" t="str">
        <f t="shared" ref="B182:B213" ca="1" si="34">IFERROR(IF(BB188= "", IF(ISBLANK(INDIRECT(C182 &amp;"!$" &amp;INDEX($AC$148:$AC$171, MATCH(C182, $Z$148:$Z$158, 0))&amp;  D182)), "", INDIRECT(C182 &amp;"!$" &amp;INDEX($AC$148:$AC$171, MATCH(C182, $Z$148:$Z$158, 0))&amp;  D182)), INDIRECT(C182 &amp;"!$" &amp;DD188&amp;  D182)), "")</f>
        <v>Cells per battery pack</v>
      </c>
      <c r="C182" s="1226" t="str">
        <f t="shared" ca="1" si="29"/>
        <v>'Battery Design'</v>
      </c>
      <c r="D182" s="1226">
        <f t="shared" ca="1" si="30"/>
        <v>74</v>
      </c>
      <c r="E182" s="1226">
        <f t="shared" ref="E182:E213" ca="1" si="35">IFERROR(INDEX( $AF$148:$AF$163,MATCH(C182, $Z$148:$Z$162, 0)), "")</f>
        <v>7</v>
      </c>
      <c r="F182" s="1228" t="str">
        <f t="shared" ref="F182:F213" ca="1" si="36">IFERROR(IF(NOT(E182 = 1), "",  IF(ISBLANK(INDIRECT(C182 &amp;"!$" &amp;INDEX($AD$148:$AD$171, MATCH(C182, $Z$148:$Z$158, 0))&amp;  D182)), "",INDIRECT(C182 &amp;"!$" &amp;INDEX($AD$148:$AD$171, MATCH(C182, $Z$148:$Z$158, 0))&amp;  D182))),  "")</f>
        <v/>
      </c>
      <c r="G182" s="1228">
        <f t="shared" ca="1" si="33"/>
        <v>400</v>
      </c>
      <c r="H182" s="1228">
        <f t="shared" ca="1" si="33"/>
        <v>400</v>
      </c>
      <c r="I182" s="1228">
        <f t="shared" ca="1" si="33"/>
        <v>400</v>
      </c>
      <c r="J182" s="1228">
        <f t="shared" ca="1" si="33"/>
        <v>400</v>
      </c>
      <c r="K182" s="1228">
        <f t="shared" ca="1" si="33"/>
        <v>400</v>
      </c>
      <c r="L182" s="1228">
        <f t="shared" ca="1" si="33"/>
        <v>400</v>
      </c>
      <c r="M182" s="1228">
        <f t="shared" ca="1" si="33"/>
        <v>400</v>
      </c>
    </row>
    <row r="183" spans="1:13" ht="15" customHeight="1">
      <c r="A183" s="1124"/>
      <c r="B183" s="1230" t="str">
        <f t="shared" ca="1" si="34"/>
        <v>Cell current collector ASI, ohms-cm²</v>
      </c>
      <c r="C183" s="1226" t="str">
        <f t="shared" ref="C183:C214" ca="1" si="37">IFERROR(IF(ROW(E183) - ROW($E$150) &gt; INDEX($AE$148:$AE$173, MATCH(C182, $Z$148:$Z$158, 0)), INDEX($Z$148:$Z$158, MATCH(C182, $Z$148:$Z$158, 0) + 1), C182), "")</f>
        <v>'Battery Design'</v>
      </c>
      <c r="D183" s="1226">
        <f t="shared" ca="1" si="30"/>
        <v>90</v>
      </c>
      <c r="E183" s="1226">
        <f t="shared" ca="1" si="35"/>
        <v>7</v>
      </c>
      <c r="F183" s="1228" t="str">
        <f t="shared" ca="1" si="36"/>
        <v/>
      </c>
      <c r="G183" s="1228">
        <f t="shared" ca="1" si="33"/>
        <v>1.6839437663706178</v>
      </c>
      <c r="H183" s="1228">
        <f t="shared" ca="1" si="33"/>
        <v>1.6839437663706178</v>
      </c>
      <c r="I183" s="1228">
        <f t="shared" ca="1" si="33"/>
        <v>1.6839437663706178</v>
      </c>
      <c r="J183" s="1228">
        <f t="shared" ca="1" si="33"/>
        <v>1.6839437663706178</v>
      </c>
      <c r="K183" s="1228">
        <f t="shared" ca="1" si="33"/>
        <v>1.6839437663706178</v>
      </c>
      <c r="L183" s="1228">
        <f t="shared" ca="1" si="33"/>
        <v>1.6839437663706178</v>
      </c>
      <c r="M183" s="1228">
        <f t="shared" ca="1" si="33"/>
        <v>1.6839437663706178</v>
      </c>
    </row>
    <row r="184" spans="1:13" ht="15" customHeight="1">
      <c r="A184" s="1124"/>
      <c r="B184" s="1230" t="str">
        <f t="shared" ca="1" si="34"/>
        <v>Total cell ASI for power, ohm-cm²</v>
      </c>
      <c r="C184" s="1226" t="str">
        <f t="shared" ca="1" si="37"/>
        <v>'Battery Design'</v>
      </c>
      <c r="D184" s="1226">
        <f t="shared" ca="1" si="30"/>
        <v>95</v>
      </c>
      <c r="E184" s="1226">
        <f t="shared" ca="1" si="35"/>
        <v>7</v>
      </c>
      <c r="F184" s="1228" t="str">
        <f t="shared" ca="1" si="36"/>
        <v/>
      </c>
      <c r="G184" s="1228">
        <f t="shared" ca="1" si="33"/>
        <v>29.773248702869409</v>
      </c>
      <c r="H184" s="1228">
        <f t="shared" ca="1" si="33"/>
        <v>29.773248702869409</v>
      </c>
      <c r="I184" s="1228">
        <f t="shared" ca="1" si="33"/>
        <v>29.773248702869409</v>
      </c>
      <c r="J184" s="1228">
        <f t="shared" ca="1" si="33"/>
        <v>29.773248702869409</v>
      </c>
      <c r="K184" s="1228">
        <f t="shared" ca="1" si="33"/>
        <v>29.773248702869409</v>
      </c>
      <c r="L184" s="1228">
        <f t="shared" ca="1" si="33"/>
        <v>29.773248702869409</v>
      </c>
      <c r="M184" s="1228">
        <f t="shared" ca="1" si="33"/>
        <v>29.773248702869409</v>
      </c>
    </row>
    <row r="185" spans="1:13" ht="15" customHeight="1">
      <c r="A185" s="1124"/>
      <c r="B185" s="1230" t="str">
        <f t="shared" ca="1" si="34"/>
        <v>Total cell ASI for energy (C/3 rate), ohm-cm²</v>
      </c>
      <c r="C185" s="1226" t="str">
        <f t="shared" ca="1" si="37"/>
        <v>'Battery Design'</v>
      </c>
      <c r="D185" s="1226">
        <f t="shared" ca="1" si="30"/>
        <v>96</v>
      </c>
      <c r="E185" s="1226">
        <f t="shared" ca="1" si="35"/>
        <v>7</v>
      </c>
      <c r="F185" s="1228" t="str">
        <f t="shared" ca="1" si="36"/>
        <v/>
      </c>
      <c r="G185" s="1228">
        <f t="shared" ca="1" si="33"/>
        <v>34.756183343175771</v>
      </c>
      <c r="H185" s="1228">
        <f t="shared" ca="1" si="33"/>
        <v>34.756183343175771</v>
      </c>
      <c r="I185" s="1228">
        <f t="shared" ca="1" si="33"/>
        <v>34.756183343175771</v>
      </c>
      <c r="J185" s="1228">
        <f t="shared" ca="1" si="33"/>
        <v>34.756183343175771</v>
      </c>
      <c r="K185" s="1228">
        <f t="shared" ca="1" si="33"/>
        <v>34.756183343175771</v>
      </c>
      <c r="L185" s="1228">
        <f t="shared" ca="1" si="33"/>
        <v>34.756183343175771</v>
      </c>
      <c r="M185" s="1228">
        <f t="shared" ca="1" si="33"/>
        <v>34.756183343175771</v>
      </c>
    </row>
    <row r="186" spans="1:13" ht="15" customHeight="1">
      <c r="A186" s="1124"/>
      <c r="B186" s="1230" t="str">
        <f t="shared" ca="1" si="34"/>
        <v>Positive electrode thickness, µm</v>
      </c>
      <c r="C186" s="1226" t="str">
        <f t="shared" ca="1" si="37"/>
        <v>'Battery Design'</v>
      </c>
      <c r="D186" s="1226">
        <f t="shared" ca="1" si="30"/>
        <v>104</v>
      </c>
      <c r="E186" s="1226">
        <f t="shared" ca="1" si="35"/>
        <v>7</v>
      </c>
      <c r="F186" s="1228" t="str">
        <f t="shared" ca="1" si="36"/>
        <v/>
      </c>
      <c r="G186" s="1228">
        <f t="shared" ca="1" si="33"/>
        <v>120</v>
      </c>
      <c r="H186" s="1228">
        <f t="shared" ca="1" si="33"/>
        <v>120</v>
      </c>
      <c r="I186" s="1228">
        <f t="shared" ca="1" si="33"/>
        <v>120</v>
      </c>
      <c r="J186" s="1228">
        <f t="shared" ca="1" si="33"/>
        <v>120</v>
      </c>
      <c r="K186" s="1228">
        <f t="shared" ca="1" si="33"/>
        <v>120</v>
      </c>
      <c r="L186" s="1228">
        <f t="shared" ca="1" si="33"/>
        <v>120</v>
      </c>
      <c r="M186" s="1228">
        <f t="shared" ca="1" si="33"/>
        <v>120</v>
      </c>
    </row>
    <row r="187" spans="1:13" ht="15" customHeight="1">
      <c r="A187" s="1124"/>
      <c r="B187" s="1230" t="str">
        <f t="shared" ca="1" si="34"/>
        <v>Negative electrode thickness, µm</v>
      </c>
      <c r="C187" s="1226" t="str">
        <f t="shared" ca="1" si="37"/>
        <v>'Battery Design'</v>
      </c>
      <c r="D187" s="1226">
        <f t="shared" ca="1" si="30"/>
        <v>105</v>
      </c>
      <c r="E187" s="1226">
        <f t="shared" ca="1" si="35"/>
        <v>7</v>
      </c>
      <c r="F187" s="1228" t="str">
        <f t="shared" ca="1" si="36"/>
        <v/>
      </c>
      <c r="G187" s="1228">
        <f t="shared" ca="1" si="33"/>
        <v>38.640721036937791</v>
      </c>
      <c r="H187" s="1228">
        <f t="shared" ca="1" si="33"/>
        <v>38.640721036937791</v>
      </c>
      <c r="I187" s="1228">
        <f t="shared" ca="1" si="33"/>
        <v>38.640721036937791</v>
      </c>
      <c r="J187" s="1228">
        <f t="shared" ca="1" si="33"/>
        <v>38.640721036937791</v>
      </c>
      <c r="K187" s="1228">
        <f t="shared" ca="1" si="33"/>
        <v>38.640721036937791</v>
      </c>
      <c r="L187" s="1228">
        <f t="shared" ca="1" si="33"/>
        <v>38.640721036937791</v>
      </c>
      <c r="M187" s="1228">
        <f t="shared" ca="1" si="33"/>
        <v>38.640721036937791</v>
      </c>
    </row>
    <row r="188" spans="1:13" ht="30.75" customHeight="1">
      <c r="A188" s="1124"/>
      <c r="B188" s="1230" t="str">
        <f t="shared" ca="1" si="34"/>
        <v>Positive electrode areal capacity, mAh/cm²</v>
      </c>
      <c r="C188" s="1226" t="str">
        <f t="shared" ca="1" si="37"/>
        <v>'Battery Design'</v>
      </c>
      <c r="D188" s="1226">
        <f t="shared" ca="1" si="30"/>
        <v>106</v>
      </c>
      <c r="E188" s="1226">
        <f t="shared" ca="1" si="35"/>
        <v>7</v>
      </c>
      <c r="F188" s="1228" t="str">
        <f t="shared" ca="1" si="36"/>
        <v/>
      </c>
      <c r="G188" s="1228">
        <f t="shared" ca="1" si="33"/>
        <v>4.4922253250504989</v>
      </c>
      <c r="H188" s="1228">
        <f t="shared" ca="1" si="33"/>
        <v>4.4922253250504989</v>
      </c>
      <c r="I188" s="1228">
        <f t="shared" ca="1" si="33"/>
        <v>4.4922253250504989</v>
      </c>
      <c r="J188" s="1228">
        <f t="shared" ca="1" si="33"/>
        <v>4.4922253250504989</v>
      </c>
      <c r="K188" s="1228">
        <f t="shared" ca="1" si="33"/>
        <v>4.4922253250504989</v>
      </c>
      <c r="L188" s="1228">
        <f t="shared" ca="1" si="33"/>
        <v>4.4922253250504989</v>
      </c>
      <c r="M188" s="1228">
        <f t="shared" ca="1" si="33"/>
        <v>4.4922253250504989</v>
      </c>
    </row>
    <row r="189" spans="1:13" ht="15" customHeight="1">
      <c r="A189" s="1124"/>
      <c r="B189" s="1230" t="str">
        <f t="shared" ca="1" si="34"/>
        <v>Negative electrode areal capacity, mAh/cm²</v>
      </c>
      <c r="C189" s="1226" t="str">
        <f t="shared" ca="1" si="37"/>
        <v>'Battery Design'</v>
      </c>
      <c r="D189" s="1226">
        <f t="shared" ca="1" si="30"/>
        <v>107</v>
      </c>
      <c r="E189" s="1226">
        <f t="shared" ca="1" si="35"/>
        <v>7</v>
      </c>
      <c r="F189" s="1228" t="str">
        <f t="shared" ca="1" si="36"/>
        <v/>
      </c>
      <c r="G189" s="1228">
        <f t="shared" ca="1" si="33"/>
        <v>5.1750435744581758</v>
      </c>
      <c r="H189" s="1228">
        <f t="shared" ca="1" si="33"/>
        <v>5.1750435744581758</v>
      </c>
      <c r="I189" s="1228">
        <f t="shared" ca="1" si="33"/>
        <v>5.1750435744581758</v>
      </c>
      <c r="J189" s="1228">
        <f t="shared" ca="1" si="33"/>
        <v>5.1750435744581758</v>
      </c>
      <c r="K189" s="1228">
        <f t="shared" ca="1" si="33"/>
        <v>5.1750435744581758</v>
      </c>
      <c r="L189" s="1228">
        <f t="shared" ca="1" si="33"/>
        <v>5.1750435744581758</v>
      </c>
      <c r="M189" s="1228">
        <f t="shared" ca="1" si="33"/>
        <v>5.1750435744581758</v>
      </c>
    </row>
    <row r="190" spans="1:13" ht="15" customHeight="1">
      <c r="A190" s="1124"/>
      <c r="B190" s="1230" t="str">
        <f t="shared" ca="1" si="34"/>
        <v>Module mass, kg</v>
      </c>
      <c r="C190" s="1226" t="str">
        <f t="shared" ca="1" si="37"/>
        <v>'Battery Design'</v>
      </c>
      <c r="D190" s="1226">
        <f t="shared" ca="1" si="30"/>
        <v>144</v>
      </c>
      <c r="E190" s="1226">
        <f t="shared" ca="1" si="35"/>
        <v>7</v>
      </c>
      <c r="F190" s="1228" t="str">
        <f t="shared" ca="1" si="36"/>
        <v/>
      </c>
      <c r="G190" s="1228">
        <f t="shared" ref="G190:M199" ca="1" si="38">IFERROR(IF(NOT($E190 = 7), "",INDIRECT($C190 &amp;"!" &amp;ADDRESS($D190,  COLUMN(INDIRECT(INDEX($AD$148:$AD$171, MATCH($C190, $Z$148:$Z$158, 0)) &amp; $D190)) +  G$149 - 1))), "")</f>
        <v>22.70184826660379</v>
      </c>
      <c r="H190" s="1228">
        <f t="shared" ca="1" si="38"/>
        <v>22.70184826660379</v>
      </c>
      <c r="I190" s="1228">
        <f t="shared" ca="1" si="38"/>
        <v>22.70184826660379</v>
      </c>
      <c r="J190" s="1228">
        <f t="shared" ca="1" si="38"/>
        <v>22.70184826660379</v>
      </c>
      <c r="K190" s="1228">
        <f t="shared" ca="1" si="38"/>
        <v>22.70184826660379</v>
      </c>
      <c r="L190" s="1228">
        <f t="shared" ca="1" si="38"/>
        <v>22.70184826660379</v>
      </c>
      <c r="M190" s="1228">
        <f t="shared" ca="1" si="38"/>
        <v>22.70184826660379</v>
      </c>
    </row>
    <row r="191" spans="1:13" ht="15" customHeight="1">
      <c r="A191" s="1124"/>
      <c r="B191" s="1230" t="str">
        <f t="shared" ca="1" si="34"/>
        <v>Nominal pack voltage (OCV at 80% SOC for HEV-HP, 50% others)</v>
      </c>
      <c r="C191" s="1226" t="str">
        <f t="shared" ca="1" si="37"/>
        <v>'Battery Design'</v>
      </c>
      <c r="D191" s="1226">
        <f t="shared" ca="1" si="30"/>
        <v>150</v>
      </c>
      <c r="E191" s="1226">
        <f t="shared" ca="1" si="35"/>
        <v>7</v>
      </c>
      <c r="F191" s="1228" t="str">
        <f t="shared" ca="1" si="36"/>
        <v/>
      </c>
      <c r="G191" s="1228">
        <f t="shared" ca="1" si="38"/>
        <v>328.2</v>
      </c>
      <c r="H191" s="1228">
        <f t="shared" ca="1" si="38"/>
        <v>328.2</v>
      </c>
      <c r="I191" s="1228">
        <f t="shared" ca="1" si="38"/>
        <v>328.2</v>
      </c>
      <c r="J191" s="1228">
        <f t="shared" ca="1" si="38"/>
        <v>328.2</v>
      </c>
      <c r="K191" s="1228">
        <f t="shared" ca="1" si="38"/>
        <v>328.2</v>
      </c>
      <c r="L191" s="1228">
        <f t="shared" ca="1" si="38"/>
        <v>328.2</v>
      </c>
      <c r="M191" s="1228">
        <f t="shared" ca="1" si="38"/>
        <v>328.2</v>
      </c>
    </row>
    <row r="192" spans="1:13" ht="15" customHeight="1">
      <c r="A192" s="1124"/>
      <c r="B192" s="1230" t="str">
        <f t="shared" ca="1" si="34"/>
        <v>C-rate at full power, A/Ah</v>
      </c>
      <c r="C192" s="1226" t="str">
        <f t="shared" ca="1" si="37"/>
        <v>'Battery Design'</v>
      </c>
      <c r="D192" s="1226">
        <f t="shared" ca="1" si="30"/>
        <v>154</v>
      </c>
      <c r="E192" s="1226">
        <f t="shared" ca="1" si="35"/>
        <v>7</v>
      </c>
      <c r="F192" s="1228" t="str">
        <f t="shared" ca="1" si="36"/>
        <v/>
      </c>
      <c r="G192" s="1228">
        <f t="shared" ca="1" si="38"/>
        <v>2.1792535453115889</v>
      </c>
      <c r="H192" s="1228">
        <f t="shared" ca="1" si="38"/>
        <v>2.1792535453115889</v>
      </c>
      <c r="I192" s="1228">
        <f t="shared" ca="1" si="38"/>
        <v>2.1792535453115889</v>
      </c>
      <c r="J192" s="1228">
        <f t="shared" ca="1" si="38"/>
        <v>2.1792535453115889</v>
      </c>
      <c r="K192" s="1228">
        <f t="shared" ca="1" si="38"/>
        <v>2.1792535453115889</v>
      </c>
      <c r="L192" s="1228">
        <f t="shared" ca="1" si="38"/>
        <v>2.1792535453115889</v>
      </c>
      <c r="M192" s="1228">
        <f t="shared" ca="1" si="38"/>
        <v>2.1792535453115889</v>
      </c>
    </row>
    <row r="193" spans="1:27" ht="15" customHeight="1">
      <c r="A193" s="1124"/>
      <c r="B193" s="1230" t="str">
        <f t="shared" ca="1" si="34"/>
        <v>Capacity, Ah</v>
      </c>
      <c r="C193" s="1226" t="str">
        <f t="shared" ca="1" si="37"/>
        <v>'Battery Design'</v>
      </c>
      <c r="D193" s="1226">
        <f t="shared" ca="1" si="30"/>
        <v>196</v>
      </c>
      <c r="E193" s="1226">
        <f t="shared" ca="1" si="35"/>
        <v>7</v>
      </c>
      <c r="F193" s="1228" t="str">
        <f t="shared" ca="1" si="36"/>
        <v/>
      </c>
      <c r="G193" s="1228">
        <f t="shared" ca="1" si="38"/>
        <v>309.40234438966644</v>
      </c>
      <c r="H193" s="1228">
        <f t="shared" ca="1" si="38"/>
        <v>309.40234438966644</v>
      </c>
      <c r="I193" s="1228">
        <f t="shared" ca="1" si="38"/>
        <v>309.40234438966644</v>
      </c>
      <c r="J193" s="1228">
        <f t="shared" ca="1" si="38"/>
        <v>309.40234438966644</v>
      </c>
      <c r="K193" s="1228">
        <f t="shared" ca="1" si="38"/>
        <v>309.40234438966644</v>
      </c>
      <c r="L193" s="1228">
        <f t="shared" ca="1" si="38"/>
        <v>309.40234438966644</v>
      </c>
      <c r="M193" s="1228">
        <f t="shared" ca="1" si="38"/>
        <v>309.40234438966644</v>
      </c>
    </row>
    <row r="194" spans="1:27" ht="15" customHeight="1">
      <c r="A194" s="1124"/>
      <c r="B194" s="1230" t="str">
        <f t="shared" ca="1" si="34"/>
        <v>Number of battery systems manufactured per year</v>
      </c>
      <c r="C194" s="1226" t="str">
        <f t="shared" ca="1" si="37"/>
        <v>'Battery Design'</v>
      </c>
      <c r="D194" s="1226">
        <f t="shared" ca="1" si="30"/>
        <v>205</v>
      </c>
      <c r="E194" s="1226">
        <f t="shared" ca="1" si="35"/>
        <v>7</v>
      </c>
      <c r="F194" s="1228" t="str">
        <f t="shared" ca="1" si="36"/>
        <v/>
      </c>
      <c r="G194" s="1228">
        <f t="shared" ca="1" si="38"/>
        <v>1000</v>
      </c>
      <c r="H194" s="1228">
        <f t="shared" ca="1" si="38"/>
        <v>20000</v>
      </c>
      <c r="I194" s="1228">
        <f t="shared" ca="1" si="38"/>
        <v>30000</v>
      </c>
      <c r="J194" s="1228">
        <f t="shared" ca="1" si="38"/>
        <v>40000</v>
      </c>
      <c r="K194" s="1228">
        <f t="shared" ca="1" si="38"/>
        <v>50000</v>
      </c>
      <c r="L194" s="1228">
        <f t="shared" ca="1" si="38"/>
        <v>75000</v>
      </c>
      <c r="M194" s="1228">
        <f t="shared" ca="1" si="38"/>
        <v>100000</v>
      </c>
    </row>
    <row r="195" spans="1:27" ht="15" customHeight="1">
      <c r="A195" s="1124"/>
      <c r="B195" s="1230" t="str">
        <f t="shared" ca="1" si="34"/>
        <v>Pack power, kW</v>
      </c>
      <c r="C195" s="1226" t="str">
        <f t="shared" ca="1" si="37"/>
        <v>'Battery Design'</v>
      </c>
      <c r="D195" s="1226">
        <f t="shared" ca="1" si="30"/>
        <v>208</v>
      </c>
      <c r="E195" s="1226">
        <f t="shared" ca="1" si="35"/>
        <v>7</v>
      </c>
      <c r="F195" s="1228" t="str">
        <f t="shared" ca="1" si="36"/>
        <v/>
      </c>
      <c r="G195" s="1228">
        <f t="shared" ca="1" si="38"/>
        <v>200</v>
      </c>
      <c r="H195" s="1228">
        <f t="shared" ca="1" si="38"/>
        <v>200</v>
      </c>
      <c r="I195" s="1228">
        <f t="shared" ca="1" si="38"/>
        <v>200</v>
      </c>
      <c r="J195" s="1228">
        <f t="shared" ca="1" si="38"/>
        <v>200</v>
      </c>
      <c r="K195" s="1228">
        <f t="shared" ca="1" si="38"/>
        <v>200</v>
      </c>
      <c r="L195" s="1228">
        <f t="shared" ca="1" si="38"/>
        <v>200</v>
      </c>
      <c r="M195" s="1228">
        <f t="shared" ca="1" si="38"/>
        <v>200</v>
      </c>
    </row>
    <row r="196" spans="1:27" ht="15" customHeight="1">
      <c r="A196" s="1124"/>
      <c r="B196" s="1230" t="str">
        <f t="shared" ca="1" si="34"/>
        <v>Pack energy, kWh</v>
      </c>
      <c r="C196" s="1226" t="str">
        <f t="shared" ca="1" si="37"/>
        <v>'Battery Design'</v>
      </c>
      <c r="D196" s="1226">
        <f t="shared" ca="1" si="30"/>
        <v>209</v>
      </c>
      <c r="E196" s="1226">
        <f t="shared" ca="1" si="35"/>
        <v>7</v>
      </c>
      <c r="F196" s="1228" t="str">
        <f t="shared" ca="1" si="36"/>
        <v/>
      </c>
      <c r="G196" s="1228">
        <f t="shared" ca="1" si="38"/>
        <v>99.999999999999957</v>
      </c>
      <c r="H196" s="1228">
        <f t="shared" ca="1" si="38"/>
        <v>99.999999999999957</v>
      </c>
      <c r="I196" s="1228">
        <f t="shared" ca="1" si="38"/>
        <v>99.999999999999957</v>
      </c>
      <c r="J196" s="1228">
        <f t="shared" ca="1" si="38"/>
        <v>99.999999999999957</v>
      </c>
      <c r="K196" s="1228">
        <f t="shared" ca="1" si="38"/>
        <v>99.999999999999957</v>
      </c>
      <c r="L196" s="1228">
        <f t="shared" ca="1" si="38"/>
        <v>99.999999999999957</v>
      </c>
      <c r="M196" s="1228">
        <f t="shared" ca="1" si="38"/>
        <v>99.999999999999957</v>
      </c>
    </row>
    <row r="197" spans="1:27" ht="15" customHeight="1">
      <c r="A197" s="1124"/>
      <c r="B197" s="1230" t="str">
        <f t="shared" ca="1" si="34"/>
        <v>Power to energy ratio, kW/kWh</v>
      </c>
      <c r="C197" s="1226" t="str">
        <f t="shared" ca="1" si="37"/>
        <v>'Battery Design'</v>
      </c>
      <c r="D197" s="1226">
        <f t="shared" ca="1" si="30"/>
        <v>210</v>
      </c>
      <c r="E197" s="1226">
        <f t="shared" ca="1" si="35"/>
        <v>7</v>
      </c>
      <c r="F197" s="1228" t="str">
        <f t="shared" ca="1" si="36"/>
        <v/>
      </c>
      <c r="G197" s="1228">
        <f t="shared" ca="1" si="38"/>
        <v>2.0000000000000009</v>
      </c>
      <c r="H197" s="1228">
        <f t="shared" ca="1" si="38"/>
        <v>2.0000000000000009</v>
      </c>
      <c r="I197" s="1228">
        <f t="shared" ca="1" si="38"/>
        <v>2.0000000000000009</v>
      </c>
      <c r="J197" s="1228">
        <f t="shared" ca="1" si="38"/>
        <v>2.0000000000000009</v>
      </c>
      <c r="K197" s="1228">
        <f t="shared" ca="1" si="38"/>
        <v>2.0000000000000009</v>
      </c>
      <c r="L197" s="1228">
        <f t="shared" ca="1" si="38"/>
        <v>2.0000000000000009</v>
      </c>
      <c r="M197" s="1228">
        <f t="shared" ca="1" si="38"/>
        <v>2.0000000000000009</v>
      </c>
    </row>
    <row r="198" spans="1:27" ht="15" customHeight="1">
      <c r="A198" s="1124"/>
      <c r="B198" s="1230" t="str">
        <f t="shared" ca="1" si="34"/>
        <v>Pack energy (Useable), kWh(Useable)</v>
      </c>
      <c r="C198" s="1226" t="str">
        <f t="shared" ca="1" si="37"/>
        <v>'Battery Design'</v>
      </c>
      <c r="D198" s="1226">
        <f t="shared" ca="1" si="30"/>
        <v>211</v>
      </c>
      <c r="E198" s="1226">
        <f t="shared" ca="1" si="35"/>
        <v>7</v>
      </c>
      <c r="F198" s="1228" t="str">
        <f t="shared" ca="1" si="36"/>
        <v/>
      </c>
      <c r="G198" s="1228">
        <f t="shared" ca="1" si="38"/>
        <v>84.999999999999957</v>
      </c>
      <c r="H198" s="1228">
        <f t="shared" ca="1" si="38"/>
        <v>84.999999999999957</v>
      </c>
      <c r="I198" s="1228">
        <f t="shared" ca="1" si="38"/>
        <v>84.999999999999957</v>
      </c>
      <c r="J198" s="1228">
        <f t="shared" ca="1" si="38"/>
        <v>84.999999999999957</v>
      </c>
      <c r="K198" s="1228">
        <f t="shared" ca="1" si="38"/>
        <v>84.999999999999957</v>
      </c>
      <c r="L198" s="1228">
        <f t="shared" ca="1" si="38"/>
        <v>84.999999999999957</v>
      </c>
      <c r="M198" s="1228">
        <f t="shared" ca="1" si="38"/>
        <v>84.999999999999957</v>
      </c>
    </row>
    <row r="199" spans="1:27" ht="15" customHeight="1">
      <c r="A199" s="1124"/>
      <c r="B199" s="1230" t="str">
        <f t="shared" ca="1" si="34"/>
        <v>Pack mass, kg</v>
      </c>
      <c r="C199" s="1226" t="str">
        <f t="shared" ca="1" si="37"/>
        <v>'Battery Design'</v>
      </c>
      <c r="D199" s="1226">
        <f t="shared" ca="1" si="30"/>
        <v>212</v>
      </c>
      <c r="E199" s="1226">
        <f t="shared" ca="1" si="35"/>
        <v>7</v>
      </c>
      <c r="F199" s="1228" t="str">
        <f t="shared" ca="1" si="36"/>
        <v/>
      </c>
      <c r="G199" s="1228">
        <f t="shared" ca="1" si="38"/>
        <v>544.79122628184587</v>
      </c>
      <c r="H199" s="1228">
        <f t="shared" ca="1" si="38"/>
        <v>544.79122628184587</v>
      </c>
      <c r="I199" s="1228">
        <f t="shared" ca="1" si="38"/>
        <v>544.79122628184587</v>
      </c>
      <c r="J199" s="1228">
        <f t="shared" ca="1" si="38"/>
        <v>544.79122628184587</v>
      </c>
      <c r="K199" s="1228">
        <f t="shared" ca="1" si="38"/>
        <v>544.79122628184587</v>
      </c>
      <c r="L199" s="1228">
        <f t="shared" ca="1" si="38"/>
        <v>544.79122628184587</v>
      </c>
      <c r="M199" s="1228">
        <f t="shared" ca="1" si="38"/>
        <v>544.79122628184587</v>
      </c>
      <c r="U199" s="258"/>
      <c r="V199" s="258"/>
      <c r="W199" s="258"/>
    </row>
    <row r="200" spans="1:27" ht="15" customHeight="1">
      <c r="A200" s="1124"/>
      <c r="B200" s="1230" t="str">
        <f t="shared" ca="1" si="34"/>
        <v>Cell mass, kg/cell</v>
      </c>
      <c r="C200" s="1226" t="str">
        <f t="shared" ca="1" si="37"/>
        <v>'Battery Design'</v>
      </c>
      <c r="D200" s="1226">
        <f t="shared" ca="1" si="30"/>
        <v>213</v>
      </c>
      <c r="E200" s="1226">
        <f t="shared" ca="1" si="35"/>
        <v>7</v>
      </c>
      <c r="F200" s="1228" t="str">
        <f t="shared" ca="1" si="36"/>
        <v/>
      </c>
      <c r="G200" s="1228">
        <f t="shared" ref="G200:M209" ca="1" si="39">IFERROR(IF(NOT($E200 = 7), "",INDIRECT($C200 &amp;"!" &amp;ADDRESS($D200,  COLUMN(INDIRECT(INDEX($AD$148:$AD$171, MATCH($C200, $Z$148:$Z$158, 0)) &amp; $D200)) +  G$149 - 1))), "")</f>
        <v>1.0613753297348294</v>
      </c>
      <c r="H200" s="1228">
        <f t="shared" ca="1" si="39"/>
        <v>1.0613753297348294</v>
      </c>
      <c r="I200" s="1228">
        <f t="shared" ca="1" si="39"/>
        <v>1.0613753297348294</v>
      </c>
      <c r="J200" s="1228">
        <f t="shared" ca="1" si="39"/>
        <v>1.0613753297348294</v>
      </c>
      <c r="K200" s="1228">
        <f t="shared" ca="1" si="39"/>
        <v>1.0613753297348294</v>
      </c>
      <c r="L200" s="1228">
        <f t="shared" ca="1" si="39"/>
        <v>1.0613753297348294</v>
      </c>
      <c r="M200" s="1228">
        <f t="shared" ca="1" si="39"/>
        <v>1.0613753297348294</v>
      </c>
      <c r="U200" s="258"/>
      <c r="V200" s="258"/>
      <c r="W200" s="258"/>
      <c r="X200" s="258"/>
      <c r="Y200" s="258"/>
      <c r="Z200" s="258"/>
      <c r="AA200" s="258"/>
    </row>
    <row r="201" spans="1:27" ht="15" customHeight="1">
      <c r="A201" s="1124"/>
      <c r="B201" s="1230" t="str">
        <f t="shared" ca="1" si="34"/>
        <v>Pack volume, L</v>
      </c>
      <c r="C201" s="1226" t="str">
        <f t="shared" ca="1" si="37"/>
        <v>'Battery Design'</v>
      </c>
      <c r="D201" s="1226">
        <f t="shared" ca="1" si="30"/>
        <v>214</v>
      </c>
      <c r="E201" s="1226">
        <f t="shared" ca="1" si="35"/>
        <v>7</v>
      </c>
      <c r="F201" s="1228" t="str">
        <f t="shared" ca="1" si="36"/>
        <v/>
      </c>
      <c r="G201" s="1228">
        <f t="shared" ca="1" si="39"/>
        <v>290.66291258075501</v>
      </c>
      <c r="H201" s="1228">
        <f t="shared" ca="1" si="39"/>
        <v>290.66291258075501</v>
      </c>
      <c r="I201" s="1228">
        <f t="shared" ca="1" si="39"/>
        <v>290.66291258075501</v>
      </c>
      <c r="J201" s="1228">
        <f t="shared" ca="1" si="39"/>
        <v>290.66291258075501</v>
      </c>
      <c r="K201" s="1228">
        <f t="shared" ca="1" si="39"/>
        <v>290.66291258075501</v>
      </c>
      <c r="L201" s="1228">
        <f t="shared" ca="1" si="39"/>
        <v>290.66291258075501</v>
      </c>
      <c r="M201" s="1228">
        <f t="shared" ca="1" si="39"/>
        <v>290.66291258075501</v>
      </c>
      <c r="U201" s="258"/>
      <c r="V201" s="258"/>
      <c r="W201" s="258"/>
      <c r="X201" s="258"/>
      <c r="Y201" s="258"/>
      <c r="Z201" s="258"/>
      <c r="AA201" s="258"/>
    </row>
    <row r="202" spans="1:27" ht="15" customHeight="1">
      <c r="A202" s="1124"/>
      <c r="B202" s="1230" t="str">
        <f t="shared" ca="1" si="34"/>
        <v>Cell volume, L/cell</v>
      </c>
      <c r="C202" s="1226" t="str">
        <f t="shared" ca="1" si="37"/>
        <v>'Battery Design'</v>
      </c>
      <c r="D202" s="1226">
        <f t="shared" ca="1" si="30"/>
        <v>215</v>
      </c>
      <c r="E202" s="1226">
        <f t="shared" ca="1" si="35"/>
        <v>7</v>
      </c>
      <c r="F202" s="1228" t="str">
        <f t="shared" ca="1" si="36"/>
        <v/>
      </c>
      <c r="G202" s="1228">
        <f t="shared" ca="1" si="39"/>
        <v>0.41591683009703678</v>
      </c>
      <c r="H202" s="1228">
        <f t="shared" ca="1" si="39"/>
        <v>0.41591683009703678</v>
      </c>
      <c r="I202" s="1228">
        <f t="shared" ca="1" si="39"/>
        <v>0.41591683009703678</v>
      </c>
      <c r="J202" s="1228">
        <f t="shared" ca="1" si="39"/>
        <v>0.41591683009703678</v>
      </c>
      <c r="K202" s="1228">
        <f t="shared" ca="1" si="39"/>
        <v>0.41591683009703678</v>
      </c>
      <c r="L202" s="1228">
        <f t="shared" ca="1" si="39"/>
        <v>0.41591683009703678</v>
      </c>
      <c r="M202" s="1228">
        <f t="shared" ca="1" si="39"/>
        <v>0.41591683009703678</v>
      </c>
      <c r="U202" s="258"/>
      <c r="V202" s="258"/>
      <c r="W202" s="258"/>
      <c r="X202" s="258"/>
      <c r="Y202" s="258"/>
      <c r="Z202" s="258"/>
      <c r="AA202" s="258"/>
    </row>
    <row r="203" spans="1:27" ht="15" customHeight="1">
      <c r="A203" s="1124"/>
      <c r="B203" s="1230" t="str">
        <f t="shared" ca="1" si="34"/>
        <v>Cell specific energy, Wh/kg</v>
      </c>
      <c r="C203" s="1226" t="str">
        <f t="shared" ca="1" si="37"/>
        <v>'Battery Design'</v>
      </c>
      <c r="D203" s="1226">
        <f t="shared" ca="1" si="30"/>
        <v>216</v>
      </c>
      <c r="E203" s="1226">
        <f t="shared" ca="1" si="35"/>
        <v>7</v>
      </c>
      <c r="F203" s="1228" t="str">
        <f t="shared" ca="1" si="36"/>
        <v/>
      </c>
      <c r="G203" s="1228">
        <f t="shared" ca="1" si="39"/>
        <v>235.54344348898621</v>
      </c>
      <c r="H203" s="1228">
        <f t="shared" ca="1" si="39"/>
        <v>235.54344348898621</v>
      </c>
      <c r="I203" s="1228">
        <f t="shared" ca="1" si="39"/>
        <v>235.54344348898621</v>
      </c>
      <c r="J203" s="1228">
        <f t="shared" ca="1" si="39"/>
        <v>235.54344348898621</v>
      </c>
      <c r="K203" s="1228">
        <f t="shared" ca="1" si="39"/>
        <v>235.54344348898621</v>
      </c>
      <c r="L203" s="1228">
        <f t="shared" ca="1" si="39"/>
        <v>235.54344348898621</v>
      </c>
      <c r="M203" s="1228">
        <f t="shared" ca="1" si="39"/>
        <v>235.54344348898621</v>
      </c>
      <c r="O203" s="41"/>
      <c r="P203" s="17"/>
      <c r="Q203" s="17"/>
      <c r="R203" s="17"/>
      <c r="S203" s="17"/>
      <c r="T203" s="41"/>
      <c r="U203" s="287"/>
      <c r="V203" s="287"/>
      <c r="W203" s="287"/>
      <c r="X203" s="258"/>
      <c r="Y203" s="258"/>
      <c r="Z203" s="258"/>
      <c r="AA203" s="258"/>
    </row>
    <row r="204" spans="1:27" ht="15" customHeight="1">
      <c r="A204" s="1124"/>
      <c r="B204" s="1230" t="str">
        <f t="shared" ca="1" si="34"/>
        <v>Cell energy density, Wh/L</v>
      </c>
      <c r="C204" s="1226" t="str">
        <f t="shared" ca="1" si="37"/>
        <v>'Battery Design'</v>
      </c>
      <c r="D204" s="1226">
        <f t="shared" ca="1" si="30"/>
        <v>217</v>
      </c>
      <c r="E204" s="1226">
        <f t="shared" ca="1" si="35"/>
        <v>7</v>
      </c>
      <c r="F204" s="1228" t="str">
        <f t="shared" ca="1" si="36"/>
        <v/>
      </c>
      <c r="G204" s="1228">
        <f t="shared" ca="1" si="39"/>
        <v>601.08171131635345</v>
      </c>
      <c r="H204" s="1228">
        <f t="shared" ca="1" si="39"/>
        <v>601.08171131635345</v>
      </c>
      <c r="I204" s="1228">
        <f t="shared" ca="1" si="39"/>
        <v>601.08171131635345</v>
      </c>
      <c r="J204" s="1228">
        <f t="shared" ca="1" si="39"/>
        <v>601.08171131635345</v>
      </c>
      <c r="K204" s="1228">
        <f t="shared" ca="1" si="39"/>
        <v>601.08171131635345</v>
      </c>
      <c r="L204" s="1228">
        <f t="shared" ca="1" si="39"/>
        <v>601.08171131635345</v>
      </c>
      <c r="M204" s="1228">
        <f t="shared" ca="1" si="39"/>
        <v>601.08171131635345</v>
      </c>
      <c r="O204" s="17"/>
      <c r="P204" s="17"/>
      <c r="Q204" s="17"/>
      <c r="R204" s="17"/>
      <c r="S204" s="17"/>
      <c r="T204" s="41"/>
      <c r="U204" s="286"/>
      <c r="V204" s="286"/>
      <c r="W204" s="286"/>
      <c r="X204" s="287"/>
      <c r="Y204" s="287"/>
      <c r="Z204" s="287"/>
      <c r="AA204" s="287"/>
    </row>
    <row r="205" spans="1:27" ht="15" customHeight="1">
      <c r="A205" s="1124"/>
      <c r="B205" s="1230" t="str">
        <f t="shared" ca="1" si="34"/>
        <v>Pack specific energy, Wh/kg</v>
      </c>
      <c r="C205" s="1226" t="str">
        <f t="shared" ca="1" si="37"/>
        <v>'Battery Design'</v>
      </c>
      <c r="D205" s="1226">
        <f t="shared" ca="1" si="30"/>
        <v>218</v>
      </c>
      <c r="E205" s="1226">
        <f t="shared" ca="1" si="35"/>
        <v>7</v>
      </c>
      <c r="F205" s="1228" t="str">
        <f t="shared" ca="1" si="36"/>
        <v/>
      </c>
      <c r="G205" s="1228">
        <f t="shared" ca="1" si="39"/>
        <v>183.5565537325032</v>
      </c>
      <c r="H205" s="1228">
        <f t="shared" ca="1" si="39"/>
        <v>183.5565537325032</v>
      </c>
      <c r="I205" s="1228">
        <f t="shared" ca="1" si="39"/>
        <v>183.5565537325032</v>
      </c>
      <c r="J205" s="1228">
        <f t="shared" ca="1" si="39"/>
        <v>183.5565537325032</v>
      </c>
      <c r="K205" s="1228">
        <f t="shared" ca="1" si="39"/>
        <v>183.5565537325032</v>
      </c>
      <c r="L205" s="1228">
        <f t="shared" ca="1" si="39"/>
        <v>183.5565537325032</v>
      </c>
      <c r="M205" s="1228">
        <f t="shared" ca="1" si="39"/>
        <v>183.5565537325032</v>
      </c>
      <c r="N205" s="331"/>
      <c r="O205" s="17"/>
      <c r="P205" s="17"/>
      <c r="Q205" s="17"/>
      <c r="R205" s="17"/>
      <c r="S205" s="17"/>
      <c r="T205" s="41"/>
      <c r="U205" s="286"/>
      <c r="V205" s="286"/>
      <c r="W205" s="286"/>
      <c r="X205" s="286"/>
      <c r="Y205" s="286"/>
      <c r="Z205" s="286"/>
      <c r="AA205" s="286"/>
    </row>
    <row r="206" spans="1:27" ht="15" customHeight="1">
      <c r="A206" s="1124"/>
      <c r="B206" s="1230" t="str">
        <f t="shared" ca="1" si="34"/>
        <v>Pack energy density, Wh/L</v>
      </c>
      <c r="C206" s="1226" t="str">
        <f t="shared" ca="1" si="37"/>
        <v>'Battery Design'</v>
      </c>
      <c r="D206" s="1226">
        <f t="shared" ca="1" si="30"/>
        <v>219</v>
      </c>
      <c r="E206" s="1226">
        <f t="shared" ca="1" si="35"/>
        <v>7</v>
      </c>
      <c r="F206" s="1228" t="str">
        <f t="shared" ca="1" si="36"/>
        <v/>
      </c>
      <c r="G206" s="1228">
        <f t="shared" ca="1" si="39"/>
        <v>344.04114068807081</v>
      </c>
      <c r="H206" s="1228">
        <f t="shared" ca="1" si="39"/>
        <v>344.04114068807081</v>
      </c>
      <c r="I206" s="1228">
        <f t="shared" ca="1" si="39"/>
        <v>344.04114068807081</v>
      </c>
      <c r="J206" s="1228">
        <f t="shared" ca="1" si="39"/>
        <v>344.04114068807081</v>
      </c>
      <c r="K206" s="1228">
        <f t="shared" ca="1" si="39"/>
        <v>344.04114068807081</v>
      </c>
      <c r="L206" s="1228">
        <f t="shared" ca="1" si="39"/>
        <v>344.04114068807081</v>
      </c>
      <c r="M206" s="1228">
        <f t="shared" ca="1" si="39"/>
        <v>344.04114068807081</v>
      </c>
      <c r="O206" s="17"/>
      <c r="P206" s="17"/>
      <c r="Q206" s="17"/>
      <c r="R206" s="17"/>
      <c r="S206" s="17"/>
      <c r="T206" s="41"/>
      <c r="U206" s="286"/>
      <c r="V206" s="286"/>
      <c r="W206" s="286"/>
      <c r="X206" s="286"/>
      <c r="Y206" s="286"/>
      <c r="Z206" s="286"/>
      <c r="AA206" s="286"/>
    </row>
    <row r="207" spans="1:27" ht="15" customHeight="1">
      <c r="A207" s="1124"/>
      <c r="B207" s="1230" t="str">
        <f t="shared" ca="1" si="34"/>
        <v>Pack cost to OEM, $/kWh</v>
      </c>
      <c r="C207" s="1226" t="str">
        <f t="shared" ca="1" si="37"/>
        <v>'Battery Design'</v>
      </c>
      <c r="D207" s="1226">
        <f t="shared" ca="1" si="30"/>
        <v>220</v>
      </c>
      <c r="E207" s="1226">
        <f t="shared" ca="1" si="35"/>
        <v>7</v>
      </c>
      <c r="F207" s="1228" t="str">
        <f t="shared" ca="1" si="36"/>
        <v/>
      </c>
      <c r="G207" s="1228">
        <f t="shared" ca="1" si="39"/>
        <v>269.4419319562989</v>
      </c>
      <c r="H207" s="1228">
        <f t="shared" ca="1" si="39"/>
        <v>184.22624047093748</v>
      </c>
      <c r="I207" s="1228">
        <f t="shared" ca="1" si="39"/>
        <v>178.2480455080366</v>
      </c>
      <c r="J207" s="1228">
        <f t="shared" ca="1" si="39"/>
        <v>174.46415734650452</v>
      </c>
      <c r="K207" s="1228">
        <f t="shared" ca="1" si="39"/>
        <v>171.76087098513719</v>
      </c>
      <c r="L207" s="1228">
        <f t="shared" ca="1" si="39"/>
        <v>167.30918831208749</v>
      </c>
      <c r="M207" s="1228">
        <f t="shared" ca="1" si="39"/>
        <v>164.4711707280737</v>
      </c>
      <c r="O207" s="17"/>
      <c r="P207" s="17"/>
      <c r="Q207" s="17"/>
      <c r="R207" s="17"/>
      <c r="S207" s="17"/>
      <c r="T207" s="41"/>
      <c r="U207" s="286"/>
      <c r="V207" s="286"/>
      <c r="W207" s="286"/>
      <c r="X207" s="286"/>
      <c r="Y207" s="286"/>
      <c r="Z207" s="286"/>
      <c r="AA207" s="286"/>
    </row>
    <row r="208" spans="1:27" ht="15" customHeight="1">
      <c r="A208" s="1124"/>
      <c r="B208" s="1230" t="str">
        <f t="shared" ca="1" si="34"/>
        <v>Pack cost to OEM, $/kWh(Useable)</v>
      </c>
      <c r="C208" s="1226" t="str">
        <f t="shared" ca="1" si="37"/>
        <v>'Battery Design'</v>
      </c>
      <c r="D208" s="1226">
        <f t="shared" ca="1" si="30"/>
        <v>221</v>
      </c>
      <c r="E208" s="1226">
        <f t="shared" ca="1" si="35"/>
        <v>7</v>
      </c>
      <c r="F208" s="1228" t="str">
        <f t="shared" ca="1" si="36"/>
        <v/>
      </c>
      <c r="G208" s="1228">
        <f t="shared" ca="1" si="39"/>
        <v>316.99050818388105</v>
      </c>
      <c r="H208" s="1228">
        <f t="shared" ca="1" si="39"/>
        <v>216.73675349522057</v>
      </c>
      <c r="I208" s="1228">
        <f t="shared" ca="1" si="39"/>
        <v>209.7035829506313</v>
      </c>
      <c r="J208" s="1228">
        <f t="shared" ca="1" si="39"/>
        <v>205.25194981941709</v>
      </c>
      <c r="K208" s="1228">
        <f t="shared" ca="1" si="39"/>
        <v>202.07161292369082</v>
      </c>
      <c r="L208" s="1228">
        <f t="shared" ca="1" si="39"/>
        <v>196.83433919069117</v>
      </c>
      <c r="M208" s="1228">
        <f t="shared" ca="1" si="39"/>
        <v>193.49549497420435</v>
      </c>
      <c r="O208" s="17"/>
      <c r="P208" s="17"/>
      <c r="Q208" s="17"/>
      <c r="R208" s="17"/>
      <c r="S208" s="17"/>
      <c r="T208" s="41"/>
      <c r="U208" s="286"/>
      <c r="V208" s="286"/>
      <c r="W208" s="286"/>
      <c r="X208" s="286"/>
      <c r="Y208" s="286"/>
      <c r="Z208" s="286"/>
      <c r="AA208" s="286"/>
    </row>
    <row r="209" spans="1:27" ht="15" customHeight="1">
      <c r="A209" s="1124"/>
      <c r="B209" s="1230" t="str">
        <f t="shared" ca="1" si="34"/>
        <v>Pack cost to OEM, US$</v>
      </c>
      <c r="C209" s="1226" t="str">
        <f t="shared" ca="1" si="37"/>
        <v>'Battery Design'</v>
      </c>
      <c r="D209" s="1226">
        <f t="shared" ca="1" si="30"/>
        <v>222</v>
      </c>
      <c r="E209" s="1226">
        <f t="shared" ca="1" si="35"/>
        <v>7</v>
      </c>
      <c r="F209" s="1228" t="str">
        <f t="shared" ca="1" si="36"/>
        <v/>
      </c>
      <c r="G209" s="1228">
        <f t="shared" ca="1" si="39"/>
        <v>26944.193195629876</v>
      </c>
      <c r="H209" s="1228">
        <f t="shared" ca="1" si="39"/>
        <v>18422.624047093741</v>
      </c>
      <c r="I209" s="1228">
        <f t="shared" ca="1" si="39"/>
        <v>17824.804550803652</v>
      </c>
      <c r="J209" s="1228">
        <f t="shared" ca="1" si="39"/>
        <v>17446.415734650443</v>
      </c>
      <c r="K209" s="1228">
        <f t="shared" ca="1" si="39"/>
        <v>17176.087098513712</v>
      </c>
      <c r="L209" s="1228">
        <f t="shared" ca="1" si="39"/>
        <v>16730.918831208743</v>
      </c>
      <c r="M209" s="1228">
        <f t="shared" ca="1" si="39"/>
        <v>16447.117072807363</v>
      </c>
      <c r="O209" s="17"/>
      <c r="P209" s="17"/>
      <c r="Q209" s="17"/>
      <c r="R209" s="17"/>
      <c r="S209" s="17"/>
      <c r="T209" s="41"/>
      <c r="U209" s="286"/>
      <c r="V209" s="286"/>
      <c r="W209" s="286"/>
      <c r="X209" s="286"/>
      <c r="Y209" s="286"/>
      <c r="Z209" s="286"/>
      <c r="AA209" s="286"/>
    </row>
    <row r="210" spans="1:27" ht="15" customHeight="1">
      <c r="A210" s="1124">
        <v>20</v>
      </c>
      <c r="B210" s="1230" t="str">
        <f t="shared" ca="1" si="34"/>
        <v>Cell cost to OEM, US$/Cell</v>
      </c>
      <c r="C210" s="1226" t="str">
        <f t="shared" ca="1" si="37"/>
        <v>'Battery Design'</v>
      </c>
      <c r="D210" s="1226">
        <f t="shared" ca="1" si="30"/>
        <v>223</v>
      </c>
      <c r="E210" s="1226">
        <f t="shared" ca="1" si="35"/>
        <v>7</v>
      </c>
      <c r="F210" s="1228" t="str">
        <f t="shared" ca="1" si="36"/>
        <v/>
      </c>
      <c r="G210" s="1228">
        <f t="shared" ref="G210:M219" ca="1" si="40">IFERROR(IF(NOT($E210 = 7), "",INDIRECT($C210 &amp;"!" &amp;ADDRESS($D210,  COLUMN(INDIRECT(INDEX($AD$148:$AD$171, MATCH($C210, $Z$148:$Z$158, 0)) &amp; $D210)) +  G$149 - 1))), "")</f>
        <v>57.217331825581958</v>
      </c>
      <c r="H210" s="1228">
        <f t="shared" ca="1" si="40"/>
        <v>39.228921750683256</v>
      </c>
      <c r="I210" s="1228">
        <f t="shared" ca="1" si="40"/>
        <v>37.962847503885172</v>
      </c>
      <c r="J210" s="1228">
        <f t="shared" ca="1" si="40"/>
        <v>37.161041038925816</v>
      </c>
      <c r="K210" s="1228">
        <f t="shared" ca="1" si="40"/>
        <v>36.587996785520943</v>
      </c>
      <c r="L210" s="1228">
        <f t="shared" ca="1" si="40"/>
        <v>35.643932994595787</v>
      </c>
      <c r="M210" s="1228">
        <f t="shared" ca="1" si="40"/>
        <v>35.041830572156826</v>
      </c>
      <c r="O210" s="17"/>
      <c r="P210" s="17"/>
      <c r="Q210" s="17"/>
      <c r="R210" s="17"/>
      <c r="S210" s="17"/>
      <c r="T210" s="41"/>
      <c r="U210" s="286"/>
      <c r="V210" s="286"/>
      <c r="W210" s="286"/>
      <c r="X210" s="286"/>
      <c r="Y210" s="286"/>
      <c r="Z210" s="286"/>
      <c r="AA210" s="286"/>
    </row>
    <row r="211" spans="1:27" ht="15" customHeight="1">
      <c r="A211" s="1124"/>
      <c r="B211" s="1230" t="str">
        <f t="shared" ca="1" si="34"/>
        <v>Cell cost to OEM, US$/kWh</v>
      </c>
      <c r="C211" s="1226" t="str">
        <f t="shared" ca="1" si="37"/>
        <v>'Battery Design'</v>
      </c>
      <c r="D211" s="1226">
        <f t="shared" ca="1" si="30"/>
        <v>224</v>
      </c>
      <c r="E211" s="1226">
        <f t="shared" ca="1" si="35"/>
        <v>7</v>
      </c>
      <c r="F211" s="1228" t="str">
        <f t="shared" ca="1" si="36"/>
        <v/>
      </c>
      <c r="G211" s="1228">
        <f t="shared" ca="1" si="40"/>
        <v>228.86932730232795</v>
      </c>
      <c r="H211" s="1228">
        <f t="shared" ca="1" si="40"/>
        <v>156.91568700273311</v>
      </c>
      <c r="I211" s="1228">
        <f t="shared" ca="1" si="40"/>
        <v>151.85139001554074</v>
      </c>
      <c r="J211" s="1228">
        <f t="shared" ca="1" si="40"/>
        <v>148.64416415570335</v>
      </c>
      <c r="K211" s="1228">
        <f t="shared" ca="1" si="40"/>
        <v>146.35198714208383</v>
      </c>
      <c r="L211" s="1228">
        <f t="shared" ca="1" si="40"/>
        <v>142.5757319783832</v>
      </c>
      <c r="M211" s="1228">
        <f t="shared" ca="1" si="40"/>
        <v>140.16732228862736</v>
      </c>
      <c r="O211" s="332"/>
      <c r="P211" s="17"/>
      <c r="Q211" s="17"/>
      <c r="R211" s="17"/>
      <c r="S211" s="17"/>
      <c r="T211" s="41"/>
      <c r="U211" s="286"/>
      <c r="V211" s="286"/>
      <c r="W211" s="286"/>
      <c r="X211" s="286"/>
      <c r="Y211" s="286"/>
      <c r="Z211" s="286"/>
      <c r="AA211" s="286"/>
    </row>
    <row r="212" spans="1:27" ht="15" customHeight="1">
      <c r="A212" s="1124"/>
      <c r="B212" s="1230" t="str">
        <f t="shared" ca="1" si="34"/>
        <v>Cell cost to OEM, US$/kWh(Useable)</v>
      </c>
      <c r="C212" s="1226" t="str">
        <f t="shared" ca="1" si="37"/>
        <v>'Battery Design'</v>
      </c>
      <c r="D212" s="1226">
        <f t="shared" ca="1" si="30"/>
        <v>225</v>
      </c>
      <c r="E212" s="1226">
        <f t="shared" ca="1" si="35"/>
        <v>7</v>
      </c>
      <c r="F212" s="1228" t="str">
        <f t="shared" ca="1" si="36"/>
        <v/>
      </c>
      <c r="G212" s="1228">
        <f t="shared" ca="1" si="40"/>
        <v>269.25803212038585</v>
      </c>
      <c r="H212" s="1228">
        <f t="shared" ca="1" si="40"/>
        <v>184.60669059145073</v>
      </c>
      <c r="I212" s="1228">
        <f t="shared" ca="1" si="40"/>
        <v>178.6486941359303</v>
      </c>
      <c r="J212" s="1228">
        <f t="shared" ca="1" si="40"/>
        <v>174.87548724200394</v>
      </c>
      <c r="K212" s="1228">
        <f t="shared" ca="1" si="40"/>
        <v>172.17880840245158</v>
      </c>
      <c r="L212" s="1228">
        <f t="shared" ca="1" si="40"/>
        <v>167.73615526868613</v>
      </c>
      <c r="M212" s="1228">
        <f t="shared" ca="1" si="40"/>
        <v>164.9027321042675</v>
      </c>
      <c r="O212" s="41"/>
      <c r="P212" s="17"/>
      <c r="Q212" s="17"/>
      <c r="R212" s="17"/>
      <c r="S212" s="17"/>
      <c r="T212" s="41"/>
      <c r="U212" s="287"/>
      <c r="V212" s="287"/>
      <c r="W212" s="287"/>
      <c r="X212" s="286"/>
      <c r="Y212" s="286"/>
      <c r="Z212" s="286"/>
      <c r="AA212" s="286"/>
    </row>
    <row r="213" spans="1:27" ht="15" customHeight="1">
      <c r="A213" s="1124"/>
      <c r="B213" s="1230" t="str">
        <f t="shared" ca="1" si="34"/>
        <v>Pack to cell cost ratio</v>
      </c>
      <c r="C213" s="1226" t="str">
        <f t="shared" ca="1" si="37"/>
        <v>'Battery Design'</v>
      </c>
      <c r="D213" s="1226">
        <f t="shared" ca="1" si="30"/>
        <v>226</v>
      </c>
      <c r="E213" s="1226">
        <f t="shared" ca="1" si="35"/>
        <v>7</v>
      </c>
      <c r="F213" s="1228" t="str">
        <f t="shared" ca="1" si="36"/>
        <v/>
      </c>
      <c r="G213" s="1228">
        <f t="shared" ca="1" si="40"/>
        <v>1.1772741027913105</v>
      </c>
      <c r="H213" s="1228">
        <f t="shared" ca="1" si="40"/>
        <v>1.1740460370143151</v>
      </c>
      <c r="I213" s="1228">
        <f t="shared" ca="1" si="40"/>
        <v>1.1738321624174424</v>
      </c>
      <c r="J213" s="1228">
        <f t="shared" ca="1" si="40"/>
        <v>1.1737033763650147</v>
      </c>
      <c r="K213" s="1228">
        <f t="shared" ca="1" si="40"/>
        <v>1.1736148879098272</v>
      </c>
      <c r="L213" s="1228">
        <f t="shared" ca="1" si="40"/>
        <v>1.1734759204143821</v>
      </c>
      <c r="M213" s="1228">
        <f t="shared" ca="1" si="40"/>
        <v>1.173391686754212</v>
      </c>
      <c r="O213" s="17"/>
      <c r="P213" s="17"/>
      <c r="Q213" s="17"/>
      <c r="R213" s="17"/>
      <c r="S213" s="17"/>
      <c r="T213" s="41"/>
      <c r="U213" s="286"/>
      <c r="V213" s="286"/>
      <c r="W213" s="286"/>
      <c r="X213" s="287"/>
      <c r="Y213" s="287"/>
      <c r="Z213" s="287"/>
      <c r="AA213" s="287"/>
    </row>
    <row r="214" spans="1:27" ht="15" customHeight="1">
      <c r="A214" s="1124"/>
      <c r="B214" s="1230" t="str">
        <f t="shared" ref="B214:B245" ca="1" si="41">IFERROR(IF(BB220= "", IF(ISBLANK(INDIRECT(C214 &amp;"!$" &amp;INDEX($AC$148:$AC$171, MATCH(C214, $Z$148:$Z$158, 0))&amp;  D214)), "", INDIRECT(C214 &amp;"!$" &amp;INDEX($AC$148:$AC$171, MATCH(C214, $Z$148:$Z$158, 0))&amp;  D214)), INDIRECT(C214 &amp;"!$" &amp;DD220&amp;  D214)), "")</f>
        <v>Cost of BMU, $</v>
      </c>
      <c r="C214" s="1226" t="str">
        <f t="shared" ca="1" si="37"/>
        <v>BMU</v>
      </c>
      <c r="D214" s="1226">
        <f t="shared" ca="1" si="30"/>
        <v>73</v>
      </c>
      <c r="E214" s="1226">
        <f t="shared" ref="E214:E245" ca="1" si="42">IFERROR(INDEX( $AF$148:$AF$163,MATCH(C214, $Z$148:$Z$162, 0)), "")</f>
        <v>7</v>
      </c>
      <c r="F214" s="1228" t="str">
        <f t="shared" ref="F214:F245" ca="1" si="43">IFERROR(IF(NOT(E214 = 1), "",  IF(ISBLANK(INDIRECT(C214 &amp;"!$" &amp;INDEX($AD$148:$AD$171, MATCH(C214, $Z$148:$Z$158, 0))&amp;  D214)), "",INDIRECT(C214 &amp;"!$" &amp;INDEX($AD$148:$AD$171, MATCH(C214, $Z$148:$Z$158, 0))&amp;  D214))),  "")</f>
        <v/>
      </c>
      <c r="G214" s="1228">
        <f t="shared" ca="1" si="40"/>
        <v>589.46061382423511</v>
      </c>
      <c r="H214" s="1228">
        <f t="shared" ca="1" si="40"/>
        <v>436.86956729686773</v>
      </c>
      <c r="I214" s="1228">
        <f t="shared" ca="1" si="40"/>
        <v>419.51033695163892</v>
      </c>
      <c r="J214" s="1228">
        <f t="shared" ca="1" si="40"/>
        <v>407.6137192863871</v>
      </c>
      <c r="K214" s="1228">
        <f t="shared" ca="1" si="40"/>
        <v>398.61881299781658</v>
      </c>
      <c r="L214" s="1228">
        <f t="shared" ca="1" si="40"/>
        <v>382.77949546973497</v>
      </c>
      <c r="M214" s="1228">
        <f t="shared" ca="1" si="40"/>
        <v>371.92450357420404</v>
      </c>
      <c r="O214" s="17"/>
      <c r="P214" s="17"/>
      <c r="Q214" s="17"/>
      <c r="R214" s="17"/>
      <c r="S214" s="17"/>
      <c r="T214" s="41"/>
      <c r="U214" s="286"/>
      <c r="V214" s="286"/>
      <c r="W214" s="286"/>
      <c r="X214" s="286"/>
      <c r="Y214" s="286"/>
      <c r="Z214" s="286"/>
      <c r="AA214" s="286"/>
    </row>
    <row r="215" spans="1:27" ht="15" customHeight="1">
      <c r="A215" s="1124"/>
      <c r="B215" s="1230" t="str">
        <f t="shared" ca="1" si="41"/>
        <v>Volume of BMU, L</v>
      </c>
      <c r="C215" s="1226" t="str">
        <f t="shared" ref="C215:C246" ca="1" si="44">IFERROR(IF(ROW(E215) - ROW($E$150) &gt; INDEX($AE$148:$AE$173, MATCH(C214, $Z$148:$Z$158, 0)), INDEX($Z$148:$Z$158, MATCH(C214, $Z$148:$Z$158, 0) + 1), C214), "")</f>
        <v>BMU</v>
      </c>
      <c r="D215" s="1226">
        <f t="shared" ca="1" si="30"/>
        <v>88</v>
      </c>
      <c r="E215" s="1226">
        <f t="shared" ca="1" si="42"/>
        <v>7</v>
      </c>
      <c r="F215" s="1228" t="str">
        <f t="shared" ca="1" si="43"/>
        <v/>
      </c>
      <c r="G215" s="1228">
        <f t="shared" ca="1" si="40"/>
        <v>3.3202624169000003</v>
      </c>
      <c r="H215" s="1228">
        <f t="shared" ca="1" si="40"/>
        <v>3.3202624169000003</v>
      </c>
      <c r="I215" s="1228">
        <f t="shared" ca="1" si="40"/>
        <v>3.3202624169000003</v>
      </c>
      <c r="J215" s="1228">
        <f t="shared" ca="1" si="40"/>
        <v>3.3202624169000003</v>
      </c>
      <c r="K215" s="1228">
        <f t="shared" ca="1" si="40"/>
        <v>3.3202624169000003</v>
      </c>
      <c r="L215" s="1228">
        <f t="shared" ca="1" si="40"/>
        <v>3.3202624169000003</v>
      </c>
      <c r="M215" s="1228">
        <f t="shared" ca="1" si="40"/>
        <v>3.3202624169000003</v>
      </c>
      <c r="O215" s="17"/>
      <c r="P215" s="17"/>
      <c r="Q215" s="17"/>
      <c r="R215" s="17"/>
      <c r="S215" s="17"/>
      <c r="T215" s="41"/>
      <c r="U215" s="286"/>
      <c r="V215" s="286"/>
      <c r="W215" s="286"/>
      <c r="X215" s="286"/>
      <c r="Y215" s="286"/>
      <c r="Z215" s="286"/>
      <c r="AA215" s="286"/>
    </row>
    <row r="216" spans="1:27" ht="15" customHeight="1">
      <c r="A216" s="1124"/>
      <c r="B216" s="1230" t="str">
        <f t="shared" ca="1" si="41"/>
        <v>Mass of BMU, kg</v>
      </c>
      <c r="C216" s="1226" t="str">
        <f t="shared" ca="1" si="44"/>
        <v>BMU</v>
      </c>
      <c r="D216" s="1226">
        <f t="shared" ca="1" si="30"/>
        <v>104</v>
      </c>
      <c r="E216" s="1226">
        <f t="shared" ca="1" si="42"/>
        <v>7</v>
      </c>
      <c r="F216" s="1228" t="str">
        <f t="shared" ca="1" si="43"/>
        <v/>
      </c>
      <c r="G216" s="1228">
        <f t="shared" ca="1" si="40"/>
        <v>3.2732000000000001</v>
      </c>
      <c r="H216" s="1228">
        <f t="shared" ca="1" si="40"/>
        <v>3.2732000000000001</v>
      </c>
      <c r="I216" s="1228">
        <f t="shared" ca="1" si="40"/>
        <v>3.2732000000000001</v>
      </c>
      <c r="J216" s="1228">
        <f t="shared" ca="1" si="40"/>
        <v>3.2732000000000001</v>
      </c>
      <c r="K216" s="1228">
        <f t="shared" ca="1" si="40"/>
        <v>3.2732000000000001</v>
      </c>
      <c r="L216" s="1228">
        <f t="shared" ca="1" si="40"/>
        <v>3.2732000000000001</v>
      </c>
      <c r="M216" s="1228">
        <f t="shared" ca="1" si="40"/>
        <v>3.2732000000000001</v>
      </c>
      <c r="O216" s="17"/>
      <c r="P216" s="17"/>
      <c r="Q216" s="17"/>
      <c r="R216" s="17"/>
      <c r="S216" s="17"/>
      <c r="T216" s="41"/>
      <c r="U216" s="286"/>
      <c r="V216" s="286"/>
      <c r="W216" s="286"/>
      <c r="X216" s="286"/>
      <c r="Y216" s="286"/>
      <c r="Z216" s="286"/>
      <c r="AA216" s="286"/>
    </row>
    <row r="217" spans="1:27" ht="15" customHeight="1">
      <c r="A217" s="1124"/>
      <c r="B217" s="1230" t="str">
        <f t="shared" ca="1" si="41"/>
        <v>Thermal conductivity of pack jacket insulation, W/cm-K</v>
      </c>
      <c r="C217" s="1226" t="str">
        <f t="shared" ca="1" si="44"/>
        <v>Thermal</v>
      </c>
      <c r="D217" s="1226">
        <f t="shared" ref="D217:D268" ca="1" si="45">IFERROR(MATCH("x",INDIRECT(C217&amp;"!$"&amp;INDEX($AB$148:$AB$171,MATCH(C217,$Z$148:$Z$158,0))&amp;IF(NOT(C217=C216),1,D216+1)&amp;":$"&amp;INDEX($AB$148:$AB$171,MATCH(C217,$Z$148:$Z$158,0))&amp;"20000"),0)+IF(NOT(C217=C216),0,D216), "")</f>
        <v>179</v>
      </c>
      <c r="E217" s="1226">
        <f t="shared" ca="1" si="42"/>
        <v>7</v>
      </c>
      <c r="F217" s="1228" t="str">
        <f t="shared" ca="1" si="43"/>
        <v/>
      </c>
      <c r="G217" s="1228">
        <f t="shared" ca="1" si="40"/>
        <v>2.7E-4</v>
      </c>
      <c r="H217" s="1228">
        <f t="shared" ca="1" si="40"/>
        <v>2.7E-4</v>
      </c>
      <c r="I217" s="1228">
        <f t="shared" ca="1" si="40"/>
        <v>2.7E-4</v>
      </c>
      <c r="J217" s="1228">
        <f t="shared" ca="1" si="40"/>
        <v>2.7E-4</v>
      </c>
      <c r="K217" s="1228">
        <f t="shared" ca="1" si="40"/>
        <v>2.7E-4</v>
      </c>
      <c r="L217" s="1228">
        <f t="shared" ca="1" si="40"/>
        <v>2.7E-4</v>
      </c>
      <c r="M217" s="1228">
        <f t="shared" ca="1" si="40"/>
        <v>2.7E-4</v>
      </c>
      <c r="O217" s="17"/>
      <c r="P217" s="17"/>
      <c r="Q217" s="17"/>
      <c r="R217" s="17"/>
      <c r="S217" s="17"/>
      <c r="T217" s="41"/>
      <c r="U217" s="286"/>
      <c r="V217" s="286"/>
      <c r="W217" s="286"/>
      <c r="X217" s="286"/>
      <c r="Y217" s="286"/>
      <c r="Z217" s="286"/>
      <c r="AA217" s="286"/>
    </row>
    <row r="218" spans="1:27" ht="15" customHeight="1">
      <c r="A218" s="1124"/>
      <c r="B218" s="1230" t="str">
        <f t="shared" ca="1" si="41"/>
        <v>Direct labor, hours/year</v>
      </c>
      <c r="C218" s="1226" t="str">
        <f t="shared" ca="1" si="44"/>
        <v>'Manufacturing Cost Calculations'</v>
      </c>
      <c r="D218" s="1226">
        <f t="shared" ca="1" si="45"/>
        <v>263</v>
      </c>
      <c r="E218" s="1226">
        <f t="shared" ca="1" si="42"/>
        <v>7</v>
      </c>
      <c r="F218" s="1228" t="str">
        <f t="shared" ca="1" si="43"/>
        <v/>
      </c>
      <c r="G218" s="1228">
        <f t="shared" ca="1" si="40"/>
        <v>96602.17987758205</v>
      </c>
      <c r="H218" s="1228">
        <f t="shared" ca="1" si="40"/>
        <v>465386.15512809873</v>
      </c>
      <c r="I218" s="1228">
        <f t="shared" ca="1" si="40"/>
        <v>578945.96304362861</v>
      </c>
      <c r="J218" s="1228">
        <f t="shared" ca="1" si="40"/>
        <v>676530.23109460529</v>
      </c>
      <c r="K218" s="1228">
        <f t="shared" ca="1" si="40"/>
        <v>763791.64474221913</v>
      </c>
      <c r="L218" s="1228">
        <f t="shared" ca="1" si="40"/>
        <v>953234.27383632818</v>
      </c>
      <c r="M218" s="1228">
        <f t="shared" ca="1" si="40"/>
        <v>1116502.8790810406</v>
      </c>
      <c r="O218" s="17"/>
      <c r="P218" s="17"/>
      <c r="Q218" s="17"/>
      <c r="R218" s="17"/>
      <c r="S218" s="17"/>
      <c r="T218" s="41"/>
      <c r="U218" s="286"/>
      <c r="V218" s="286"/>
      <c r="W218" s="286"/>
      <c r="X218" s="286"/>
      <c r="Y218" s="286"/>
      <c r="Z218" s="286"/>
      <c r="AA218" s="286"/>
    </row>
    <row r="219" spans="1:27" ht="15" customHeight="1">
      <c r="A219" s="1124"/>
      <c r="B219" s="1230" t="str">
        <f t="shared" ca="1" si="41"/>
        <v>Capital equipment, million$</v>
      </c>
      <c r="C219" s="1226" t="str">
        <f t="shared" ca="1" si="44"/>
        <v>'Manufacturing Cost Calculations'</v>
      </c>
      <c r="D219" s="1226">
        <f t="shared" ca="1" si="45"/>
        <v>264</v>
      </c>
      <c r="E219" s="1226">
        <f t="shared" ca="1" si="42"/>
        <v>7</v>
      </c>
      <c r="F219" s="1228" t="str">
        <f t="shared" ca="1" si="43"/>
        <v/>
      </c>
      <c r="G219" s="1228">
        <f t="shared" ca="1" si="40"/>
        <v>13.350167117452155</v>
      </c>
      <c r="H219" s="1228">
        <f t="shared" ca="1" si="40"/>
        <v>102.58312222599825</v>
      </c>
      <c r="I219" s="1228">
        <f t="shared" ca="1" si="40"/>
        <v>135.83386309274661</v>
      </c>
      <c r="J219" s="1228">
        <f t="shared" ca="1" si="40"/>
        <v>165.86589777406169</v>
      </c>
      <c r="K219" s="1228">
        <f t="shared" ca="1" si="40"/>
        <v>193.71961011520122</v>
      </c>
      <c r="L219" s="1228">
        <f t="shared" ca="1" si="40"/>
        <v>257.00852333981845</v>
      </c>
      <c r="M219" s="1228">
        <f t="shared" ca="1" si="40"/>
        <v>314.24025426045512</v>
      </c>
      <c r="O219" s="17"/>
      <c r="P219" s="17"/>
      <c r="Q219" s="17"/>
      <c r="R219" s="17"/>
      <c r="S219" s="17"/>
      <c r="T219" s="41"/>
      <c r="U219" s="286"/>
      <c r="V219" s="286"/>
      <c r="W219" s="286"/>
      <c r="X219" s="286"/>
      <c r="Y219" s="286"/>
      <c r="Z219" s="286"/>
      <c r="AA219" s="286"/>
    </row>
    <row r="220" spans="1:27" ht="15" customHeight="1">
      <c r="A220" s="1124"/>
      <c r="B220" s="1230" t="str">
        <f t="shared" ca="1" si="41"/>
        <v>Plant area, square meters</v>
      </c>
      <c r="C220" s="1226" t="str">
        <f t="shared" ca="1" si="44"/>
        <v>'Manufacturing Cost Calculations'</v>
      </c>
      <c r="D220" s="1226">
        <f t="shared" ca="1" si="45"/>
        <v>265</v>
      </c>
      <c r="E220" s="1226">
        <f t="shared" ca="1" si="42"/>
        <v>7</v>
      </c>
      <c r="F220" s="1228" t="str">
        <f t="shared" ca="1" si="43"/>
        <v/>
      </c>
      <c r="G220" s="1228">
        <f t="shared" ref="G220:M229" ca="1" si="46">IFERROR(IF(NOT($E220 = 7), "",INDIRECT($C220 &amp;"!" &amp;ADDRESS($D220,  COLUMN(INDIRECT(INDEX($AD$148:$AD$171, MATCH($C220, $Z$148:$Z$158, 0)) &amp; $D220)) +  G$149 - 1))), "")</f>
        <v>1808.2206902937337</v>
      </c>
      <c r="H220" s="1228">
        <f t="shared" ca="1" si="46"/>
        <v>11431.943617196115</v>
      </c>
      <c r="I220" s="1228">
        <f t="shared" ca="1" si="46"/>
        <v>14771.309322976311</v>
      </c>
      <c r="J220" s="1228">
        <f t="shared" ca="1" si="46"/>
        <v>17734.258936629722</v>
      </c>
      <c r="K220" s="1228">
        <f t="shared" ca="1" si="46"/>
        <v>20447.567800313955</v>
      </c>
      <c r="L220" s="1228">
        <f t="shared" ca="1" si="46"/>
        <v>26518.130516819361</v>
      </c>
      <c r="M220" s="1228">
        <f t="shared" ca="1" si="46"/>
        <v>31921.719560789843</v>
      </c>
      <c r="O220" s="332"/>
      <c r="P220" s="17"/>
      <c r="Q220" s="17"/>
      <c r="R220" s="17"/>
      <c r="S220" s="17"/>
      <c r="T220" s="41"/>
      <c r="U220" s="286"/>
      <c r="V220" s="286"/>
      <c r="W220" s="286"/>
      <c r="X220" s="286"/>
      <c r="Y220" s="286"/>
      <c r="Z220" s="286"/>
      <c r="AA220" s="286"/>
    </row>
    <row r="221" spans="1:27" ht="15" customHeight="1">
      <c r="A221" s="1124"/>
      <c r="B221" s="1230" t="str">
        <f t="shared" ca="1" si="41"/>
        <v>Cost of materials</v>
      </c>
      <c r="C221" s="1226" t="str">
        <f t="shared" ca="1" si="44"/>
        <v>'Cost Breakdown'</v>
      </c>
      <c r="D221" s="1226">
        <f t="shared" ca="1" si="45"/>
        <v>98</v>
      </c>
      <c r="E221" s="1226">
        <f t="shared" ca="1" si="42"/>
        <v>7</v>
      </c>
      <c r="F221" s="1228" t="str">
        <f t="shared" ca="1" si="43"/>
        <v/>
      </c>
      <c r="G221" s="1228">
        <f t="shared" ca="1" si="46"/>
        <v>12923.069499851279</v>
      </c>
      <c r="H221" s="1228">
        <f t="shared" ca="1" si="46"/>
        <v>12259.677132414276</v>
      </c>
      <c r="I221" s="1228">
        <f t="shared" ca="1" si="46"/>
        <v>12184.207560786821</v>
      </c>
      <c r="J221" s="1228">
        <f t="shared" ca="1" si="46"/>
        <v>12132.486797760081</v>
      </c>
      <c r="K221" s="1228">
        <f t="shared" ca="1" si="46"/>
        <v>12093.381278049403</v>
      </c>
      <c r="L221" s="1228">
        <f t="shared" ca="1" si="46"/>
        <v>12024.51955521132</v>
      </c>
      <c r="M221" s="1228">
        <f t="shared" ca="1" si="46"/>
        <v>11977.327279281853</v>
      </c>
      <c r="O221" s="41"/>
      <c r="P221" s="17"/>
      <c r="Q221" s="17"/>
      <c r="R221" s="17"/>
      <c r="S221" s="17"/>
      <c r="T221" s="41"/>
      <c r="U221" s="287"/>
      <c r="V221" s="287"/>
      <c r="W221" s="287"/>
      <c r="X221" s="286"/>
      <c r="Y221" s="286"/>
      <c r="Z221" s="286"/>
      <c r="AA221" s="286"/>
    </row>
    <row r="222" spans="1:27" ht="15" customHeight="1">
      <c r="A222" s="1124"/>
      <c r="B222" s="1230" t="str">
        <f t="shared" ca="1" si="41"/>
        <v>Cost of purchased items</v>
      </c>
      <c r="C222" s="1226" t="str">
        <f t="shared" ca="1" si="44"/>
        <v>'Cost Breakdown'</v>
      </c>
      <c r="D222" s="1226">
        <f t="shared" ca="1" si="45"/>
        <v>99</v>
      </c>
      <c r="E222" s="1226">
        <f t="shared" ca="1" si="42"/>
        <v>7</v>
      </c>
      <c r="F222" s="1228" t="str">
        <f t="shared" ca="1" si="43"/>
        <v/>
      </c>
      <c r="G222" s="1228">
        <f t="shared" ca="1" si="46"/>
        <v>2877.6130714107785</v>
      </c>
      <c r="H222" s="1228">
        <f t="shared" ca="1" si="46"/>
        <v>2349.2236003855446</v>
      </c>
      <c r="I222" s="1228">
        <f t="shared" ca="1" si="46"/>
        <v>2299.0662095349076</v>
      </c>
      <c r="J222" s="1228">
        <f t="shared" ca="1" si="46"/>
        <v>2265.866662400399</v>
      </c>
      <c r="K222" s="1228">
        <f t="shared" ca="1" si="46"/>
        <v>2241.3988599941044</v>
      </c>
      <c r="L222" s="1228">
        <f t="shared" ca="1" si="46"/>
        <v>2199.6401633664973</v>
      </c>
      <c r="M222" s="1228">
        <f t="shared" ca="1" si="46"/>
        <v>2171.9997739153723</v>
      </c>
      <c r="O222" s="17"/>
      <c r="P222" s="17"/>
      <c r="Q222" s="17"/>
      <c r="R222" s="17"/>
      <c r="S222" s="17"/>
      <c r="T222" s="41"/>
      <c r="U222" s="286"/>
      <c r="V222" s="286"/>
      <c r="W222" s="286"/>
      <c r="X222" s="287"/>
      <c r="Y222" s="287"/>
      <c r="Z222" s="287"/>
      <c r="AA222" s="287"/>
    </row>
    <row r="223" spans="1:27" ht="15" customHeight="1">
      <c r="A223" s="1124"/>
      <c r="B223" s="1230" t="str">
        <f t="shared" ca="1" si="41"/>
        <v>Cost of electrode processing</v>
      </c>
      <c r="C223" s="1226" t="str">
        <f t="shared" ca="1" si="44"/>
        <v>'Cost Breakdown'</v>
      </c>
      <c r="D223" s="1226">
        <f t="shared" ca="1" si="45"/>
        <v>101</v>
      </c>
      <c r="E223" s="1226">
        <f t="shared" ca="1" si="42"/>
        <v>7</v>
      </c>
      <c r="F223" s="1228" t="str">
        <f t="shared" ca="1" si="43"/>
        <v/>
      </c>
      <c r="G223" s="1228">
        <f t="shared" ca="1" si="46"/>
        <v>2037.5965236967779</v>
      </c>
      <c r="H223" s="1228">
        <f t="shared" ca="1" si="46"/>
        <v>640.33168086589797</v>
      </c>
      <c r="I223" s="1228">
        <f t="shared" ca="1" si="46"/>
        <v>552.02965031148028</v>
      </c>
      <c r="J223" s="1228">
        <f t="shared" ca="1" si="46"/>
        <v>497.46017488924883</v>
      </c>
      <c r="K223" s="1228">
        <f t="shared" ca="1" si="46"/>
        <v>459.18790383383021</v>
      </c>
      <c r="L223" s="1228">
        <f t="shared" ca="1" si="46"/>
        <v>397.62276665289869</v>
      </c>
      <c r="M223" s="1228">
        <f t="shared" ca="1" si="46"/>
        <v>359.43712248262784</v>
      </c>
      <c r="O223" s="17"/>
      <c r="P223" s="17"/>
      <c r="Q223" s="17"/>
      <c r="R223" s="17"/>
      <c r="S223" s="17"/>
      <c r="T223" s="41"/>
      <c r="U223" s="286"/>
      <c r="V223" s="286"/>
      <c r="W223" s="286"/>
      <c r="X223" s="286"/>
      <c r="Y223" s="286"/>
      <c r="Z223" s="286"/>
      <c r="AA223" s="286"/>
    </row>
    <row r="224" spans="1:27" ht="15" customHeight="1">
      <c r="A224" s="1124"/>
      <c r="B224" s="1230" t="str">
        <f t="shared" ca="1" si="41"/>
        <v>Cost of cell assembly</v>
      </c>
      <c r="C224" s="1226" t="str">
        <f t="shared" ca="1" si="44"/>
        <v>'Cost Breakdown'</v>
      </c>
      <c r="D224" s="1226">
        <f t="shared" ca="1" si="45"/>
        <v>102</v>
      </c>
      <c r="E224" s="1226">
        <f t="shared" ca="1" si="42"/>
        <v>7</v>
      </c>
      <c r="F224" s="1228" t="str">
        <f t="shared" ca="1" si="43"/>
        <v/>
      </c>
      <c r="G224" s="1228">
        <f t="shared" ca="1" si="46"/>
        <v>2380.0142006038104</v>
      </c>
      <c r="H224" s="1228">
        <f t="shared" ca="1" si="46"/>
        <v>743.78164900234151</v>
      </c>
      <c r="I224" s="1228">
        <f t="shared" ca="1" si="46"/>
        <v>645.49872564630698</v>
      </c>
      <c r="J224" s="1228">
        <f t="shared" ca="1" si="46"/>
        <v>584.89590428207896</v>
      </c>
      <c r="K224" s="1228">
        <f t="shared" ca="1" si="46"/>
        <v>542.41996669157436</v>
      </c>
      <c r="L224" s="1228">
        <f t="shared" ca="1" si="46"/>
        <v>474.07133514241031</v>
      </c>
      <c r="M224" s="1228">
        <f t="shared" ca="1" si="46"/>
        <v>431.61326772658686</v>
      </c>
      <c r="O224" s="17"/>
      <c r="P224" s="17"/>
      <c r="Q224" s="17"/>
      <c r="R224" s="17"/>
      <c r="S224" s="17"/>
      <c r="T224" s="41"/>
      <c r="U224" s="286"/>
      <c r="V224" s="286"/>
      <c r="W224" s="286"/>
      <c r="X224" s="286"/>
      <c r="Y224" s="286"/>
      <c r="Z224" s="286"/>
      <c r="AA224" s="286"/>
    </row>
    <row r="225" spans="1:27" ht="15" customHeight="1">
      <c r="A225" s="1124"/>
      <c r="B225" s="1230" t="str">
        <f t="shared" ca="1" si="41"/>
        <v>Cost of formation cycling, testing and sealing</v>
      </c>
      <c r="C225" s="1226" t="str">
        <f t="shared" ca="1" si="44"/>
        <v>'Cost Breakdown'</v>
      </c>
      <c r="D225" s="1226">
        <f t="shared" ca="1" si="45"/>
        <v>103</v>
      </c>
      <c r="E225" s="1226">
        <f t="shared" ca="1" si="42"/>
        <v>7</v>
      </c>
      <c r="F225" s="1228" t="str">
        <f t="shared" ca="1" si="43"/>
        <v/>
      </c>
      <c r="G225" s="1228">
        <f t="shared" ca="1" si="46"/>
        <v>2301.8507596979907</v>
      </c>
      <c r="H225" s="1228">
        <f t="shared" ca="1" si="46"/>
        <v>852.14970529324864</v>
      </c>
      <c r="I225" s="1228">
        <f t="shared" ca="1" si="46"/>
        <v>747.46053694394186</v>
      </c>
      <c r="J225" s="1228">
        <f t="shared" ca="1" si="46"/>
        <v>681.35704234041907</v>
      </c>
      <c r="K225" s="1228">
        <f t="shared" ca="1" si="46"/>
        <v>634.27790077105794</v>
      </c>
      <c r="L225" s="1228">
        <f t="shared" ca="1" si="46"/>
        <v>557.1664246366571</v>
      </c>
      <c r="M225" s="1228">
        <f t="shared" ca="1" si="46"/>
        <v>508.39151109725202</v>
      </c>
      <c r="O225" s="17"/>
      <c r="P225" s="17"/>
      <c r="Q225" s="17"/>
      <c r="R225" s="17"/>
      <c r="S225" s="17"/>
      <c r="T225" s="41"/>
      <c r="U225" s="286"/>
      <c r="V225" s="286"/>
      <c r="W225" s="286"/>
      <c r="X225" s="286"/>
      <c r="Y225" s="286"/>
      <c r="Z225" s="286"/>
      <c r="AA225" s="286"/>
    </row>
    <row r="226" spans="1:27" ht="15" customHeight="1">
      <c r="A226" s="1124"/>
      <c r="B226" s="1230" t="str">
        <f t="shared" ca="1" si="41"/>
        <v>Cost of module and battery assembly</v>
      </c>
      <c r="C226" s="1226" t="str">
        <f t="shared" ca="1" si="44"/>
        <v>'Cost Breakdown'</v>
      </c>
      <c r="D226" s="1226">
        <f t="shared" ca="1" si="45"/>
        <v>104</v>
      </c>
      <c r="E226" s="1226">
        <f t="shared" ca="1" si="42"/>
        <v>7</v>
      </c>
      <c r="F226" s="1228" t="str">
        <f t="shared" ca="1" si="43"/>
        <v/>
      </c>
      <c r="G226" s="1228">
        <f t="shared" ca="1" si="46"/>
        <v>1656.4028264056135</v>
      </c>
      <c r="H226" s="1228">
        <f t="shared" ca="1" si="46"/>
        <v>488.01018960156921</v>
      </c>
      <c r="I226" s="1228">
        <f t="shared" ca="1" si="46"/>
        <v>416.27138144690326</v>
      </c>
      <c r="J226" s="1228">
        <f t="shared" ca="1" si="46"/>
        <v>372.20642149470814</v>
      </c>
      <c r="K226" s="1228">
        <f t="shared" ca="1" si="46"/>
        <v>341.44446235616311</v>
      </c>
      <c r="L226" s="1228">
        <f t="shared" ca="1" si="46"/>
        <v>292.24766530764339</v>
      </c>
      <c r="M226" s="1228">
        <f t="shared" ca="1" si="46"/>
        <v>261.9396731017053</v>
      </c>
      <c r="O226" s="17"/>
      <c r="P226" s="17"/>
      <c r="Q226" s="17"/>
      <c r="R226" s="17"/>
      <c r="S226" s="17"/>
      <c r="T226" s="41"/>
      <c r="U226" s="286"/>
      <c r="V226" s="286"/>
      <c r="W226" s="286"/>
      <c r="X226" s="286"/>
      <c r="Y226" s="286"/>
      <c r="Z226" s="286"/>
      <c r="AA226" s="286"/>
    </row>
    <row r="227" spans="1:27" ht="15" customHeight="1">
      <c r="A227" s="1124"/>
      <c r="B227" s="1230" t="str">
        <f t="shared" ca="1" si="41"/>
        <v>Cost of cell and materials rejection and recycling</v>
      </c>
      <c r="C227" s="1226" t="str">
        <f t="shared" ca="1" si="44"/>
        <v>'Cost Breakdown'</v>
      </c>
      <c r="D227" s="1226">
        <f t="shared" ca="1" si="45"/>
        <v>105</v>
      </c>
      <c r="E227" s="1226">
        <f t="shared" ca="1" si="42"/>
        <v>7</v>
      </c>
      <c r="F227" s="1228" t="str">
        <f t="shared" ca="1" si="43"/>
        <v/>
      </c>
      <c r="G227" s="1228">
        <f t="shared" ca="1" si="46"/>
        <v>109.04397661377755</v>
      </c>
      <c r="H227" s="1228">
        <f t="shared" ca="1" si="46"/>
        <v>40.237388029432935</v>
      </c>
      <c r="I227" s="1228">
        <f t="shared" ca="1" si="46"/>
        <v>35.210514263384681</v>
      </c>
      <c r="J227" s="1228">
        <f t="shared" ca="1" si="46"/>
        <v>32.036105102696339</v>
      </c>
      <c r="K227" s="1228">
        <f t="shared" ca="1" si="46"/>
        <v>29.775728466756362</v>
      </c>
      <c r="L227" s="1228">
        <f t="shared" ca="1" si="46"/>
        <v>26.075438344029919</v>
      </c>
      <c r="M227" s="1228">
        <f t="shared" ca="1" si="46"/>
        <v>23.737073959513747</v>
      </c>
      <c r="O227" s="17"/>
      <c r="P227" s="17"/>
      <c r="Q227" s="17"/>
      <c r="R227" s="17"/>
      <c r="S227" s="17"/>
      <c r="T227" s="41"/>
      <c r="U227" s="286"/>
      <c r="V227" s="286"/>
      <c r="W227" s="286"/>
      <c r="X227" s="286"/>
      <c r="Y227" s="286"/>
      <c r="Z227" s="286"/>
      <c r="AA227" s="286"/>
    </row>
    <row r="228" spans="1:27" ht="15" customHeight="1">
      <c r="A228" s="1124"/>
      <c r="B228" s="1230" t="str">
        <f t="shared" ca="1" si="41"/>
        <v>Cost of receiving and shipping</v>
      </c>
      <c r="C228" s="1226" t="str">
        <f t="shared" ca="1" si="44"/>
        <v>'Cost Breakdown'</v>
      </c>
      <c r="D228" s="1226">
        <f t="shared" ca="1" si="45"/>
        <v>106</v>
      </c>
      <c r="E228" s="1226">
        <f t="shared" ca="1" si="42"/>
        <v>7</v>
      </c>
      <c r="F228" s="1228" t="str">
        <f t="shared" ca="1" si="43"/>
        <v/>
      </c>
      <c r="G228" s="1228">
        <f t="shared" ca="1" si="46"/>
        <v>1552.1209761174011</v>
      </c>
      <c r="H228" s="1228">
        <f t="shared" ca="1" si="46"/>
        <v>443.89522683396922</v>
      </c>
      <c r="I228" s="1228">
        <f t="shared" ca="1" si="46"/>
        <v>377.37370397640666</v>
      </c>
      <c r="J228" s="1228">
        <f t="shared" ca="1" si="46"/>
        <v>336.6422416490567</v>
      </c>
      <c r="K228" s="1228">
        <f t="shared" ca="1" si="46"/>
        <v>308.27057384189749</v>
      </c>
      <c r="L228" s="1228">
        <f t="shared" ca="1" si="46"/>
        <v>263.01386790416484</v>
      </c>
      <c r="M228" s="1228">
        <f t="shared" ca="1" si="46"/>
        <v>235.21157242012026</v>
      </c>
      <c r="O228" s="17"/>
      <c r="P228" s="17"/>
      <c r="Q228" s="17"/>
      <c r="R228" s="17"/>
      <c r="S228" s="17"/>
      <c r="T228" s="41"/>
      <c r="U228" s="286"/>
      <c r="V228" s="286"/>
      <c r="W228" s="286"/>
      <c r="X228" s="286"/>
      <c r="Y228" s="286"/>
      <c r="Z228" s="286"/>
      <c r="AA228" s="286"/>
    </row>
    <row r="229" spans="1:27" ht="15" customHeight="1">
      <c r="A229" s="1124"/>
      <c r="B229" s="1230" t="str">
        <f t="shared" ca="1" si="41"/>
        <v>Cost of control laboratory</v>
      </c>
      <c r="C229" s="1226" t="str">
        <f t="shared" ca="1" si="44"/>
        <v>'Cost Breakdown'</v>
      </c>
      <c r="D229" s="1226">
        <f t="shared" ca="1" si="45"/>
        <v>107</v>
      </c>
      <c r="E229" s="1226">
        <f t="shared" ca="1" si="42"/>
        <v>7</v>
      </c>
      <c r="F229" s="1228" t="str">
        <f t="shared" ca="1" si="43"/>
        <v/>
      </c>
      <c r="G229" s="1228">
        <f t="shared" ca="1" si="46"/>
        <v>477.02074740818341</v>
      </c>
      <c r="H229" s="1228">
        <f t="shared" ca="1" si="46"/>
        <v>128.44790737058105</v>
      </c>
      <c r="I229" s="1228">
        <f t="shared" ca="1" si="46"/>
        <v>108.17593094185114</v>
      </c>
      <c r="J229" s="1228">
        <f t="shared" ca="1" si="46"/>
        <v>95.850665445359255</v>
      </c>
      <c r="K229" s="1228">
        <f t="shared" ca="1" si="46"/>
        <v>87.311611511099414</v>
      </c>
      <c r="L229" s="1228">
        <f t="shared" ca="1" si="46"/>
        <v>73.782119173375492</v>
      </c>
      <c r="M229" s="1228">
        <f t="shared" ca="1" si="46"/>
        <v>65.535295248119056</v>
      </c>
      <c r="O229" s="332"/>
      <c r="P229" s="17"/>
      <c r="Q229" s="17"/>
      <c r="R229" s="17"/>
      <c r="S229" s="17"/>
      <c r="T229" s="41"/>
      <c r="U229" s="286"/>
      <c r="V229" s="286"/>
      <c r="W229" s="286"/>
      <c r="X229" s="286"/>
      <c r="Y229" s="286"/>
      <c r="Z229" s="286"/>
      <c r="AA229" s="286"/>
    </row>
    <row r="230" spans="1:27" ht="15" customHeight="1">
      <c r="A230" s="1124"/>
      <c r="B230" s="1230" t="str">
        <f t="shared" ca="1" si="41"/>
        <v>Total manufacturing cost</v>
      </c>
      <c r="C230" s="1226" t="str">
        <f t="shared" ca="1" si="44"/>
        <v>'Cost Breakdown'</v>
      </c>
      <c r="D230" s="1226">
        <f t="shared" ca="1" si="45"/>
        <v>108</v>
      </c>
      <c r="E230" s="1226">
        <f t="shared" ca="1" si="42"/>
        <v>7</v>
      </c>
      <c r="F230" s="1228" t="str">
        <f t="shared" ca="1" si="43"/>
        <v/>
      </c>
      <c r="G230" s="1228">
        <f t="shared" ref="G230:M239" ca="1" si="47">IFERROR(IF(NOT($E230 = 7), "",INDIRECT($C230 &amp;"!" &amp;ADDRESS($D230,  COLUMN(INDIRECT(INDEX($AD$148:$AD$171, MATCH($C230, $Z$148:$Z$158, 0)) &amp; $D230)) +  G$149 - 1))), "")</f>
        <v>10514.050010543555</v>
      </c>
      <c r="H230" s="1228">
        <f t="shared" ca="1" si="47"/>
        <v>3336.8537469970411</v>
      </c>
      <c r="I230" s="1228">
        <f t="shared" ca="1" si="47"/>
        <v>2882.0204435302749</v>
      </c>
      <c r="J230" s="1228">
        <f t="shared" ca="1" si="47"/>
        <v>2600.4485552035676</v>
      </c>
      <c r="K230" s="1228">
        <f t="shared" ca="1" si="47"/>
        <v>2402.6881474723787</v>
      </c>
      <c r="L230" s="1228">
        <f t="shared" ca="1" si="47"/>
        <v>2083.9796171611797</v>
      </c>
      <c r="M230" s="1228">
        <f t="shared" ca="1" si="47"/>
        <v>1885.8655160359251</v>
      </c>
      <c r="X230" s="286"/>
      <c r="Y230" s="286"/>
      <c r="Z230" s="286"/>
      <c r="AA230" s="286"/>
    </row>
    <row r="231" spans="1:27" ht="15" customHeight="1">
      <c r="A231" s="1124"/>
      <c r="B231" s="1230" t="str">
        <f t="shared" ca="1" si="41"/>
        <v>Battery pack total</v>
      </c>
      <c r="C231" s="1226" t="str">
        <f t="shared" ca="1" si="44"/>
        <v>'Cost Breakdown'</v>
      </c>
      <c r="D231" s="1226">
        <f t="shared" ca="1" si="45"/>
        <v>109</v>
      </c>
      <c r="E231" s="1226">
        <f t="shared" ca="1" si="42"/>
        <v>7</v>
      </c>
      <c r="F231" s="1228" t="str">
        <f t="shared" ca="1" si="43"/>
        <v/>
      </c>
      <c r="G231" s="1228">
        <f t="shared" ca="1" si="47"/>
        <v>26314.732581805612</v>
      </c>
      <c r="H231" s="1228">
        <f t="shared" ca="1" si="47"/>
        <v>17945.754479796862</v>
      </c>
      <c r="I231" s="1228">
        <f t="shared" ca="1" si="47"/>
        <v>17365.294213852001</v>
      </c>
      <c r="J231" s="1228">
        <f t="shared" ca="1" si="47"/>
        <v>16998.802015364046</v>
      </c>
      <c r="K231" s="1228">
        <f t="shared" ca="1" si="47"/>
        <v>16737.468285515886</v>
      </c>
      <c r="L231" s="1228">
        <f t="shared" ca="1" si="47"/>
        <v>16308.139335738997</v>
      </c>
      <c r="M231" s="1228">
        <f t="shared" ca="1" si="47"/>
        <v>16035.192569233152</v>
      </c>
    </row>
    <row r="232" spans="1:27" ht="15" customHeight="1">
      <c r="A232" s="1124"/>
      <c r="B232" s="1230" t="str">
        <f t="shared" ca="1" si="41"/>
        <v>Pack integration (BMS &amp; disconnects)</v>
      </c>
      <c r="C232" s="1226" t="str">
        <f t="shared" ca="1" si="44"/>
        <v>'Cost Breakdown'</v>
      </c>
      <c r="D232" s="1226">
        <f t="shared" ca="1" si="45"/>
        <v>110</v>
      </c>
      <c r="E232" s="1226">
        <f t="shared" ca="1" si="42"/>
        <v>7</v>
      </c>
      <c r="F232" s="1228" t="str">
        <f t="shared" ca="1" si="43"/>
        <v/>
      </c>
      <c r="G232" s="1228">
        <f t="shared" ca="1" si="47"/>
        <v>589.46061382423511</v>
      </c>
      <c r="H232" s="1228">
        <f t="shared" ca="1" si="47"/>
        <v>436.86956729686773</v>
      </c>
      <c r="I232" s="1228">
        <f t="shared" ca="1" si="47"/>
        <v>419.51033695163892</v>
      </c>
      <c r="J232" s="1228">
        <f t="shared" ca="1" si="47"/>
        <v>407.6137192863871</v>
      </c>
      <c r="K232" s="1228">
        <f t="shared" ca="1" si="47"/>
        <v>398.61881299781658</v>
      </c>
      <c r="L232" s="1228">
        <f t="shared" ca="1" si="47"/>
        <v>382.77949546973497</v>
      </c>
      <c r="M232" s="1228">
        <f t="shared" ca="1" si="47"/>
        <v>371.92450357420404</v>
      </c>
    </row>
    <row r="233" spans="1:27" ht="15" customHeight="1">
      <c r="A233" s="1124"/>
      <c r="B233" s="1230" t="str">
        <f t="shared" ca="1" si="41"/>
        <v>Estimated cost to OEM for thermal management</v>
      </c>
      <c r="C233" s="1226" t="str">
        <f t="shared" ca="1" si="44"/>
        <v>'Cost Breakdown'</v>
      </c>
      <c r="D233" s="1226">
        <f t="shared" ca="1" si="45"/>
        <v>111</v>
      </c>
      <c r="E233" s="1226">
        <f t="shared" ca="1" si="42"/>
        <v>7</v>
      </c>
      <c r="F233" s="1228" t="str">
        <f t="shared" ca="1" si="43"/>
        <v/>
      </c>
      <c r="G233" s="1228">
        <f t="shared" ca="1" si="47"/>
        <v>40</v>
      </c>
      <c r="H233" s="1228">
        <f t="shared" ca="1" si="47"/>
        <v>40</v>
      </c>
      <c r="I233" s="1228">
        <f t="shared" ca="1" si="47"/>
        <v>40</v>
      </c>
      <c r="J233" s="1228">
        <f t="shared" ca="1" si="47"/>
        <v>40</v>
      </c>
      <c r="K233" s="1228">
        <f t="shared" ca="1" si="47"/>
        <v>40</v>
      </c>
      <c r="L233" s="1228">
        <f t="shared" ca="1" si="47"/>
        <v>40</v>
      </c>
      <c r="M233" s="1228">
        <f t="shared" ca="1" si="47"/>
        <v>40</v>
      </c>
    </row>
    <row r="234" spans="1:27" ht="15" customHeight="1">
      <c r="A234" s="1124"/>
      <c r="B234" s="1230" t="str">
        <f t="shared" ca="1" si="41"/>
        <v>Total cost to OEM for complete battery system</v>
      </c>
      <c r="C234" s="1226" t="str">
        <f t="shared" ca="1" si="44"/>
        <v>'Cost Breakdown'</v>
      </c>
      <c r="D234" s="1226">
        <f t="shared" ca="1" si="45"/>
        <v>112</v>
      </c>
      <c r="E234" s="1226">
        <f t="shared" ca="1" si="42"/>
        <v>7</v>
      </c>
      <c r="F234" s="1228" t="str">
        <f t="shared" ca="1" si="43"/>
        <v/>
      </c>
      <c r="G234" s="1228">
        <f t="shared" ca="1" si="47"/>
        <v>26944.193195629847</v>
      </c>
      <c r="H234" s="1228">
        <f t="shared" ca="1" si="47"/>
        <v>18422.62404709373</v>
      </c>
      <c r="I234" s="1228">
        <f t="shared" ca="1" si="47"/>
        <v>17824.804550803641</v>
      </c>
      <c r="J234" s="1228">
        <f t="shared" ca="1" si="47"/>
        <v>17446.415734650433</v>
      </c>
      <c r="K234" s="1228">
        <f t="shared" ca="1" si="47"/>
        <v>17176.087098513704</v>
      </c>
      <c r="L234" s="1228">
        <f t="shared" ca="1" si="47"/>
        <v>16730.918831208732</v>
      </c>
      <c r="M234" s="1228">
        <f t="shared" ca="1" si="47"/>
        <v>16447.117072807356</v>
      </c>
    </row>
    <row r="235" spans="1:27" ht="15" customHeight="1">
      <c r="A235" s="1124"/>
      <c r="B235" s="1230" t="str">
        <f t="shared" ca="1" si="41"/>
        <v>Lithium in Electrodes and Electrolyte, kg/kWh</v>
      </c>
      <c r="C235" s="1226" t="str">
        <f t="shared" ca="1" si="44"/>
        <v>Recycle</v>
      </c>
      <c r="D235" s="1226">
        <f t="shared" ca="1" si="45"/>
        <v>22</v>
      </c>
      <c r="E235" s="1226">
        <f t="shared" ca="1" si="42"/>
        <v>7</v>
      </c>
      <c r="F235" s="1228" t="str">
        <f t="shared" ca="1" si="43"/>
        <v/>
      </c>
      <c r="G235" s="1228">
        <f t="shared" ca="1" si="47"/>
        <v>9.7980539216678361E-2</v>
      </c>
      <c r="H235" s="1228">
        <f t="shared" ca="1" si="47"/>
        <v>9.7980539216678361E-2</v>
      </c>
      <c r="I235" s="1228">
        <f t="shared" ca="1" si="47"/>
        <v>9.7980539216678361E-2</v>
      </c>
      <c r="J235" s="1228">
        <f t="shared" ca="1" si="47"/>
        <v>9.7980539216678361E-2</v>
      </c>
      <c r="K235" s="1228">
        <f t="shared" ca="1" si="47"/>
        <v>9.7980539216678361E-2</v>
      </c>
      <c r="L235" s="1228">
        <f t="shared" ca="1" si="47"/>
        <v>9.7980539216678361E-2</v>
      </c>
      <c r="M235" s="1228">
        <f t="shared" ca="1" si="47"/>
        <v>9.7980539216678361E-2</v>
      </c>
    </row>
    <row r="236" spans="1:27" ht="15" customHeight="1">
      <c r="A236" s="1124"/>
      <c r="B236" s="1230" t="str">
        <f t="shared" ca="1" si="41"/>
        <v>Nickel in positive electrode, kg/kWh</v>
      </c>
      <c r="C236" s="1226" t="str">
        <f t="shared" ca="1" si="44"/>
        <v>Recycle</v>
      </c>
      <c r="D236" s="1226">
        <f t="shared" ca="1" si="45"/>
        <v>23</v>
      </c>
      <c r="E236" s="1226">
        <f t="shared" ca="1" si="42"/>
        <v>7</v>
      </c>
      <c r="F236" s="1228" t="str">
        <f t="shared" ca="1" si="43"/>
        <v/>
      </c>
      <c r="G236" s="1228">
        <f t="shared" ca="1" si="47"/>
        <v>0</v>
      </c>
      <c r="H236" s="1228">
        <f t="shared" ca="1" si="47"/>
        <v>0</v>
      </c>
      <c r="I236" s="1228">
        <f t="shared" ca="1" si="47"/>
        <v>0</v>
      </c>
      <c r="J236" s="1228">
        <f t="shared" ca="1" si="47"/>
        <v>0</v>
      </c>
      <c r="K236" s="1228">
        <f t="shared" ca="1" si="47"/>
        <v>0</v>
      </c>
      <c r="L236" s="1228">
        <f t="shared" ca="1" si="47"/>
        <v>0</v>
      </c>
      <c r="M236" s="1228">
        <f t="shared" ca="1" si="47"/>
        <v>0</v>
      </c>
    </row>
    <row r="237" spans="1:27" ht="15" customHeight="1">
      <c r="A237" s="1124"/>
      <c r="B237" s="1230" t="str">
        <f t="shared" ca="1" si="41"/>
        <v>Cobalt in positive electrode, kg/kWh</v>
      </c>
      <c r="C237" s="1226" t="str">
        <f t="shared" ca="1" si="44"/>
        <v>Recycle</v>
      </c>
      <c r="D237" s="1226">
        <f t="shared" ca="1" si="45"/>
        <v>24</v>
      </c>
      <c r="E237" s="1226">
        <f t="shared" ca="1" si="42"/>
        <v>7</v>
      </c>
      <c r="F237" s="1228" t="str">
        <f t="shared" ca="1" si="43"/>
        <v/>
      </c>
      <c r="G237" s="1228">
        <f t="shared" ca="1" si="47"/>
        <v>0</v>
      </c>
      <c r="H237" s="1228">
        <f t="shared" ca="1" si="47"/>
        <v>0</v>
      </c>
      <c r="I237" s="1228">
        <f t="shared" ca="1" si="47"/>
        <v>0</v>
      </c>
      <c r="J237" s="1228">
        <f t="shared" ca="1" si="47"/>
        <v>0</v>
      </c>
      <c r="K237" s="1228">
        <f t="shared" ca="1" si="47"/>
        <v>0</v>
      </c>
      <c r="L237" s="1228">
        <f t="shared" ca="1" si="47"/>
        <v>0</v>
      </c>
      <c r="M237" s="1228">
        <f t="shared" ca="1" si="47"/>
        <v>0</v>
      </c>
    </row>
    <row r="238" spans="1:27" ht="15" customHeight="1">
      <c r="A238" s="1124"/>
      <c r="B238" s="1230" t="str">
        <f t="shared" ca="1" si="41"/>
        <v>Manganese in positive electrode, kg/kWh</v>
      </c>
      <c r="C238" s="1226" t="str">
        <f t="shared" ca="1" si="44"/>
        <v>Recycle</v>
      </c>
      <c r="D238" s="1226">
        <f t="shared" ca="1" si="45"/>
        <v>25</v>
      </c>
      <c r="E238" s="1226">
        <f t="shared" ca="1" si="42"/>
        <v>7</v>
      </c>
      <c r="F238" s="1228" t="str">
        <f t="shared" ca="1" si="43"/>
        <v/>
      </c>
      <c r="G238" s="1228">
        <f t="shared" ca="1" si="47"/>
        <v>0</v>
      </c>
      <c r="H238" s="1228">
        <f t="shared" ca="1" si="47"/>
        <v>0</v>
      </c>
      <c r="I238" s="1228">
        <f t="shared" ca="1" si="47"/>
        <v>0</v>
      </c>
      <c r="J238" s="1228">
        <f t="shared" ca="1" si="47"/>
        <v>0</v>
      </c>
      <c r="K238" s="1228">
        <f t="shared" ca="1" si="47"/>
        <v>0</v>
      </c>
      <c r="L238" s="1228">
        <f t="shared" ca="1" si="47"/>
        <v>0</v>
      </c>
      <c r="M238" s="1228">
        <f t="shared" ca="1" si="47"/>
        <v>0</v>
      </c>
      <c r="O238" s="258"/>
      <c r="P238" s="258"/>
    </row>
    <row r="239" spans="1:27" ht="15" customHeight="1">
      <c r="A239" s="1124"/>
      <c r="B239" s="1230" t="str">
        <f t="shared" ca="1" si="41"/>
        <v>Aluminum content, kg/kWh</v>
      </c>
      <c r="C239" s="1226" t="str">
        <f t="shared" ca="1" si="44"/>
        <v>Recycle</v>
      </c>
      <c r="D239" s="1226">
        <f t="shared" ca="1" si="45"/>
        <v>34</v>
      </c>
      <c r="E239" s="1226">
        <f t="shared" ca="1" si="42"/>
        <v>7</v>
      </c>
      <c r="F239" s="1228" t="str">
        <f t="shared" ca="1" si="43"/>
        <v/>
      </c>
      <c r="G239" s="1228">
        <f t="shared" ca="1" si="47"/>
        <v>1.0127131335080399</v>
      </c>
      <c r="H239" s="1228">
        <f t="shared" ca="1" si="47"/>
        <v>1.0127131335080399</v>
      </c>
      <c r="I239" s="1228">
        <f t="shared" ca="1" si="47"/>
        <v>1.0127131335080399</v>
      </c>
      <c r="J239" s="1228">
        <f t="shared" ca="1" si="47"/>
        <v>1.0127131335080399</v>
      </c>
      <c r="K239" s="1228">
        <f t="shared" ca="1" si="47"/>
        <v>1.0127131335080399</v>
      </c>
      <c r="L239" s="1228">
        <f t="shared" ca="1" si="47"/>
        <v>1.0127131335080399</v>
      </c>
      <c r="M239" s="1228">
        <f t="shared" ca="1" si="47"/>
        <v>1.0127131335080399</v>
      </c>
      <c r="N239" s="258"/>
      <c r="O239" s="258"/>
      <c r="P239" s="258"/>
    </row>
    <row r="240" spans="1:27" ht="15" customHeight="1">
      <c r="A240" s="1124"/>
      <c r="B240" s="1230" t="str">
        <f t="shared" ca="1" si="41"/>
        <v>Copper content, kg/kWh</v>
      </c>
      <c r="C240" s="1226" t="str">
        <f t="shared" ca="1" si="44"/>
        <v>Recycle</v>
      </c>
      <c r="D240" s="1226">
        <f t="shared" ca="1" si="45"/>
        <v>43</v>
      </c>
      <c r="E240" s="1226">
        <f t="shared" ca="1" si="42"/>
        <v>7</v>
      </c>
      <c r="F240" s="1228" t="str">
        <f t="shared" ca="1" si="43"/>
        <v/>
      </c>
      <c r="G240" s="1228">
        <f t="shared" ref="G240:M249" ca="1" si="48">IFERROR(IF(NOT($E240 = 7), "",INDIRECT($C240 &amp;"!" &amp;ADDRESS($D240,  COLUMN(INDIRECT(INDEX($AD$148:$AD$171, MATCH($C240, $Z$148:$Z$158, 0)) &amp; $D240)) +  G$149 - 1))), "")</f>
        <v>0.60206677848277002</v>
      </c>
      <c r="H240" s="1228">
        <f t="shared" ca="1" si="48"/>
        <v>0.60206677848277002</v>
      </c>
      <c r="I240" s="1228">
        <f t="shared" ca="1" si="48"/>
        <v>0.60206677848277002</v>
      </c>
      <c r="J240" s="1228">
        <f t="shared" ca="1" si="48"/>
        <v>0.60206677848277002</v>
      </c>
      <c r="K240" s="1228">
        <f t="shared" ca="1" si="48"/>
        <v>0.60206677848277002</v>
      </c>
      <c r="L240" s="1228">
        <f t="shared" ca="1" si="48"/>
        <v>0.60206677848277002</v>
      </c>
      <c r="M240" s="1228">
        <f t="shared" ca="1" si="48"/>
        <v>0.60206677848277002</v>
      </c>
      <c r="N240" s="258"/>
      <c r="O240" s="258"/>
      <c r="P240" s="258"/>
    </row>
    <row r="241" spans="1:18" ht="15" customHeight="1">
      <c r="A241" s="1124"/>
      <c r="B241" s="1230" t="str">
        <f t="shared" ca="1" si="41"/>
        <v/>
      </c>
      <c r="C241" s="1226">
        <f t="shared" ca="1" si="44"/>
        <v>0</v>
      </c>
      <c r="D241" s="1226" t="str">
        <f t="shared" ca="1" si="45"/>
        <v/>
      </c>
      <c r="E241" s="1226" t="str">
        <f t="shared" ca="1" si="42"/>
        <v/>
      </c>
      <c r="F241" s="1228" t="str">
        <f t="shared" ca="1" si="43"/>
        <v/>
      </c>
      <c r="G241" s="1228" t="str">
        <f t="shared" ca="1" si="48"/>
        <v/>
      </c>
      <c r="H241" s="1228" t="str">
        <f t="shared" ca="1" si="48"/>
        <v/>
      </c>
      <c r="I241" s="1228" t="str">
        <f t="shared" ca="1" si="48"/>
        <v/>
      </c>
      <c r="J241" s="1228" t="str">
        <f t="shared" ca="1" si="48"/>
        <v/>
      </c>
      <c r="K241" s="1228" t="str">
        <f t="shared" ca="1" si="48"/>
        <v/>
      </c>
      <c r="L241" s="1228" t="str">
        <f t="shared" ca="1" si="48"/>
        <v/>
      </c>
      <c r="M241" s="1228" t="str">
        <f t="shared" ca="1" si="48"/>
        <v/>
      </c>
      <c r="N241" s="258"/>
      <c r="O241" s="258"/>
      <c r="P241" s="258"/>
    </row>
    <row r="242" spans="1:18" ht="15" customHeight="1">
      <c r="A242" s="1124"/>
      <c r="B242" s="1230" t="str">
        <f t="shared" ca="1" si="41"/>
        <v/>
      </c>
      <c r="C242" s="1226" t="str">
        <f t="shared" ca="1" si="44"/>
        <v/>
      </c>
      <c r="D242" s="1226" t="str">
        <f t="shared" ca="1" si="45"/>
        <v/>
      </c>
      <c r="E242" s="1226" t="str">
        <f t="shared" ca="1" si="42"/>
        <v/>
      </c>
      <c r="F242" s="1228" t="str">
        <f t="shared" ca="1" si="43"/>
        <v/>
      </c>
      <c r="G242" s="1228" t="str">
        <f t="shared" ca="1" si="48"/>
        <v/>
      </c>
      <c r="H242" s="1228" t="str">
        <f t="shared" ca="1" si="48"/>
        <v/>
      </c>
      <c r="I242" s="1228" t="str">
        <f t="shared" ca="1" si="48"/>
        <v/>
      </c>
      <c r="J242" s="1228" t="str">
        <f t="shared" ca="1" si="48"/>
        <v/>
      </c>
      <c r="K242" s="1228" t="str">
        <f t="shared" ca="1" si="48"/>
        <v/>
      </c>
      <c r="L242" s="1228" t="str">
        <f t="shared" ca="1" si="48"/>
        <v/>
      </c>
      <c r="M242" s="1228" t="str">
        <f t="shared" ca="1" si="48"/>
        <v/>
      </c>
      <c r="N242" s="258"/>
      <c r="O242" s="1123"/>
      <c r="P242" s="258"/>
      <c r="Q242" s="331"/>
      <c r="R242" s="331"/>
    </row>
    <row r="243" spans="1:18" ht="15" customHeight="1">
      <c r="A243" s="1124"/>
      <c r="B243" s="1230" t="str">
        <f t="shared" ca="1" si="41"/>
        <v/>
      </c>
      <c r="C243" s="1226" t="str">
        <f t="shared" ca="1" si="44"/>
        <v/>
      </c>
      <c r="D243" s="1226" t="str">
        <f t="shared" ca="1" si="45"/>
        <v/>
      </c>
      <c r="E243" s="1226" t="str">
        <f t="shared" ca="1" si="42"/>
        <v/>
      </c>
      <c r="F243" s="1228" t="str">
        <f t="shared" ca="1" si="43"/>
        <v/>
      </c>
      <c r="G243" s="1228" t="str">
        <f t="shared" ca="1" si="48"/>
        <v/>
      </c>
      <c r="H243" s="1228" t="str">
        <f t="shared" ca="1" si="48"/>
        <v/>
      </c>
      <c r="I243" s="1228" t="str">
        <f t="shared" ca="1" si="48"/>
        <v/>
      </c>
      <c r="J243" s="1228" t="str">
        <f t="shared" ca="1" si="48"/>
        <v/>
      </c>
      <c r="K243" s="1228" t="str">
        <f t="shared" ca="1" si="48"/>
        <v/>
      </c>
      <c r="L243" s="1228" t="str">
        <f t="shared" ca="1" si="48"/>
        <v/>
      </c>
      <c r="M243" s="1228" t="str">
        <f t="shared" ca="1" si="48"/>
        <v/>
      </c>
      <c r="N243" s="258"/>
    </row>
    <row r="244" spans="1:18" ht="15" customHeight="1">
      <c r="A244" s="1124"/>
      <c r="B244" s="1230" t="str">
        <f t="shared" ca="1" si="41"/>
        <v/>
      </c>
      <c r="C244" s="1226" t="str">
        <f t="shared" ca="1" si="44"/>
        <v/>
      </c>
      <c r="D244" s="1226" t="str">
        <f t="shared" ca="1" si="45"/>
        <v/>
      </c>
      <c r="E244" s="1226" t="str">
        <f t="shared" ca="1" si="42"/>
        <v/>
      </c>
      <c r="F244" s="1228" t="str">
        <f t="shared" ca="1" si="43"/>
        <v/>
      </c>
      <c r="G244" s="1228" t="str">
        <f t="shared" ca="1" si="48"/>
        <v/>
      </c>
      <c r="H244" s="1228" t="str">
        <f t="shared" ca="1" si="48"/>
        <v/>
      </c>
      <c r="I244" s="1228" t="str">
        <f t="shared" ca="1" si="48"/>
        <v/>
      </c>
      <c r="J244" s="1228" t="str">
        <f t="shared" ca="1" si="48"/>
        <v/>
      </c>
      <c r="K244" s="1228" t="str">
        <f t="shared" ca="1" si="48"/>
        <v/>
      </c>
      <c r="L244" s="1228" t="str">
        <f t="shared" ca="1" si="48"/>
        <v/>
      </c>
      <c r="M244" s="1228" t="str">
        <f t="shared" ca="1" si="48"/>
        <v/>
      </c>
      <c r="O244" s="242"/>
    </row>
    <row r="245" spans="1:18" ht="15" customHeight="1">
      <c r="A245" s="1124"/>
      <c r="B245" s="1230" t="str">
        <f t="shared" ca="1" si="41"/>
        <v/>
      </c>
      <c r="C245" s="1226" t="str">
        <f t="shared" ca="1" si="44"/>
        <v/>
      </c>
      <c r="D245" s="1226" t="str">
        <f t="shared" ca="1" si="45"/>
        <v/>
      </c>
      <c r="E245" s="1226" t="str">
        <f t="shared" ca="1" si="42"/>
        <v/>
      </c>
      <c r="F245" s="1228" t="str">
        <f t="shared" ca="1" si="43"/>
        <v/>
      </c>
      <c r="G245" s="1228" t="str">
        <f t="shared" ca="1" si="48"/>
        <v/>
      </c>
      <c r="H245" s="1228" t="str">
        <f t="shared" ca="1" si="48"/>
        <v/>
      </c>
      <c r="I245" s="1228" t="str">
        <f t="shared" ca="1" si="48"/>
        <v/>
      </c>
      <c r="J245" s="1228" t="str">
        <f t="shared" ca="1" si="48"/>
        <v/>
      </c>
      <c r="K245" s="1228" t="str">
        <f t="shared" ca="1" si="48"/>
        <v/>
      </c>
      <c r="L245" s="1228" t="str">
        <f t="shared" ca="1" si="48"/>
        <v/>
      </c>
      <c r="M245" s="1228" t="str">
        <f t="shared" ca="1" si="48"/>
        <v/>
      </c>
    </row>
    <row r="246" spans="1:18" ht="15" customHeight="1">
      <c r="A246" s="1124"/>
      <c r="B246" s="1230" t="str">
        <f t="shared" ref="B246:B268" ca="1" si="49">IFERROR(IF(BB252= "", IF(ISBLANK(INDIRECT(C246 &amp;"!$" &amp;INDEX($AC$148:$AC$171, MATCH(C246, $Z$148:$Z$158, 0))&amp;  D246)), "", INDIRECT(C246 &amp;"!$" &amp;INDEX($AC$148:$AC$171, MATCH(C246, $Z$148:$Z$158, 0))&amp;  D246)), INDIRECT(C246 &amp;"!$" &amp;DD252&amp;  D246)), "")</f>
        <v/>
      </c>
      <c r="C246" s="1226" t="str">
        <f t="shared" ca="1" si="44"/>
        <v/>
      </c>
      <c r="D246" s="1226" t="str">
        <f t="shared" ca="1" si="45"/>
        <v/>
      </c>
      <c r="E246" s="1226" t="str">
        <f t="shared" ref="E246:E268" ca="1" si="50">IFERROR(INDEX( $AF$148:$AF$163,MATCH(C246, $Z$148:$Z$162, 0)), "")</f>
        <v/>
      </c>
      <c r="F246" s="1228" t="str">
        <f t="shared" ref="F246:F268" ca="1" si="51">IFERROR(IF(NOT(E246 = 1), "",  IF(ISBLANK(INDIRECT(C246 &amp;"!$" &amp;INDEX($AD$148:$AD$171, MATCH(C246, $Z$148:$Z$158, 0))&amp;  D246)), "",INDIRECT(C246 &amp;"!$" &amp;INDEX($AD$148:$AD$171, MATCH(C246, $Z$148:$Z$158, 0))&amp;  D246))),  "")</f>
        <v/>
      </c>
      <c r="G246" s="1228" t="str">
        <f t="shared" ca="1" si="48"/>
        <v/>
      </c>
      <c r="H246" s="1228" t="str">
        <f t="shared" ca="1" si="48"/>
        <v/>
      </c>
      <c r="I246" s="1228" t="str">
        <f t="shared" ca="1" si="48"/>
        <v/>
      </c>
      <c r="J246" s="1228" t="str">
        <f t="shared" ca="1" si="48"/>
        <v/>
      </c>
      <c r="K246" s="1228" t="str">
        <f t="shared" ca="1" si="48"/>
        <v/>
      </c>
      <c r="L246" s="1228" t="str">
        <f t="shared" ca="1" si="48"/>
        <v/>
      </c>
      <c r="M246" s="1228" t="str">
        <f t="shared" ca="1" si="48"/>
        <v/>
      </c>
    </row>
    <row r="247" spans="1:18" ht="15" customHeight="1">
      <c r="A247" s="1124"/>
      <c r="B247" s="1230" t="str">
        <f t="shared" ca="1" si="49"/>
        <v/>
      </c>
      <c r="C247" s="1226" t="str">
        <f t="shared" ref="C247:C268" ca="1" si="52">IFERROR(IF(ROW(E247) - ROW($E$150) &gt; INDEX($AE$148:$AE$173, MATCH(C246, $Z$148:$Z$158, 0)), INDEX($Z$148:$Z$158, MATCH(C246, $Z$148:$Z$158, 0) + 1), C246), "")</f>
        <v/>
      </c>
      <c r="D247" s="1226" t="str">
        <f t="shared" ca="1" si="45"/>
        <v/>
      </c>
      <c r="E247" s="1226" t="str">
        <f t="shared" ca="1" si="50"/>
        <v/>
      </c>
      <c r="F247" s="1228" t="str">
        <f t="shared" ca="1" si="51"/>
        <v/>
      </c>
      <c r="G247" s="1228" t="str">
        <f t="shared" ca="1" si="48"/>
        <v/>
      </c>
      <c r="H247" s="1228" t="str">
        <f t="shared" ca="1" si="48"/>
        <v/>
      </c>
      <c r="I247" s="1228" t="str">
        <f t="shared" ca="1" si="48"/>
        <v/>
      </c>
      <c r="J247" s="1228" t="str">
        <f t="shared" ca="1" si="48"/>
        <v/>
      </c>
      <c r="K247" s="1228" t="str">
        <f t="shared" ca="1" si="48"/>
        <v/>
      </c>
      <c r="L247" s="1228" t="str">
        <f t="shared" ca="1" si="48"/>
        <v/>
      </c>
      <c r="M247" s="1228" t="str">
        <f t="shared" ca="1" si="48"/>
        <v/>
      </c>
    </row>
    <row r="248" spans="1:18" ht="15" customHeight="1">
      <c r="A248" s="1124"/>
      <c r="B248" s="1230" t="str">
        <f t="shared" ca="1" si="49"/>
        <v/>
      </c>
      <c r="C248" s="1226" t="str">
        <f t="shared" ca="1" si="52"/>
        <v/>
      </c>
      <c r="D248" s="1226" t="str">
        <f t="shared" ca="1" si="45"/>
        <v/>
      </c>
      <c r="E248" s="1226" t="str">
        <f t="shared" ca="1" si="50"/>
        <v/>
      </c>
      <c r="F248" s="1228" t="str">
        <f t="shared" ca="1" si="51"/>
        <v/>
      </c>
      <c r="G248" s="1228" t="str">
        <f t="shared" ca="1" si="48"/>
        <v/>
      </c>
      <c r="H248" s="1228" t="str">
        <f t="shared" ca="1" si="48"/>
        <v/>
      </c>
      <c r="I248" s="1228" t="str">
        <f t="shared" ca="1" si="48"/>
        <v/>
      </c>
      <c r="J248" s="1228" t="str">
        <f t="shared" ca="1" si="48"/>
        <v/>
      </c>
      <c r="K248" s="1228" t="str">
        <f t="shared" ca="1" si="48"/>
        <v/>
      </c>
      <c r="L248" s="1228" t="str">
        <f t="shared" ca="1" si="48"/>
        <v/>
      </c>
      <c r="M248" s="1228" t="str">
        <f t="shared" ca="1" si="48"/>
        <v/>
      </c>
    </row>
    <row r="249" spans="1:18" ht="15" customHeight="1">
      <c r="A249" s="1124"/>
      <c r="B249" s="1230" t="str">
        <f t="shared" ca="1" si="49"/>
        <v/>
      </c>
      <c r="C249" s="1226" t="str">
        <f t="shared" ca="1" si="52"/>
        <v/>
      </c>
      <c r="D249" s="1226" t="str">
        <f t="shared" ca="1" si="45"/>
        <v/>
      </c>
      <c r="E249" s="1226" t="str">
        <f t="shared" ca="1" si="50"/>
        <v/>
      </c>
      <c r="F249" s="1228" t="str">
        <f t="shared" ca="1" si="51"/>
        <v/>
      </c>
      <c r="G249" s="1228" t="str">
        <f t="shared" ca="1" si="48"/>
        <v/>
      </c>
      <c r="H249" s="1228" t="str">
        <f t="shared" ca="1" si="48"/>
        <v/>
      </c>
      <c r="I249" s="1228" t="str">
        <f t="shared" ca="1" si="48"/>
        <v/>
      </c>
      <c r="J249" s="1228" t="str">
        <f t="shared" ca="1" si="48"/>
        <v/>
      </c>
      <c r="K249" s="1228" t="str">
        <f t="shared" ca="1" si="48"/>
        <v/>
      </c>
      <c r="L249" s="1228" t="str">
        <f t="shared" ca="1" si="48"/>
        <v/>
      </c>
      <c r="M249" s="1228" t="str">
        <f t="shared" ca="1" si="48"/>
        <v/>
      </c>
    </row>
    <row r="250" spans="1:18" ht="15" customHeight="1">
      <c r="A250" s="1124"/>
      <c r="B250" s="1230" t="str">
        <f t="shared" ca="1" si="49"/>
        <v/>
      </c>
      <c r="C250" s="1226" t="str">
        <f t="shared" ca="1" si="52"/>
        <v/>
      </c>
      <c r="D250" s="1226" t="str">
        <f t="shared" ca="1" si="45"/>
        <v/>
      </c>
      <c r="E250" s="1226" t="str">
        <f t="shared" ca="1" si="50"/>
        <v/>
      </c>
      <c r="F250" s="1228" t="str">
        <f t="shared" ca="1" si="51"/>
        <v/>
      </c>
      <c r="G250" s="1228" t="str">
        <f t="shared" ref="G250:M259" ca="1" si="53">IFERROR(IF(NOT($E250 = 7), "",INDIRECT($C250 &amp;"!" &amp;ADDRESS($D250,  COLUMN(INDIRECT(INDEX($AD$148:$AD$171, MATCH($C250, $Z$148:$Z$158, 0)) &amp; $D250)) +  G$149 - 1))), "")</f>
        <v/>
      </c>
      <c r="H250" s="1228" t="str">
        <f t="shared" ca="1" si="53"/>
        <v/>
      </c>
      <c r="I250" s="1228" t="str">
        <f t="shared" ca="1" si="53"/>
        <v/>
      </c>
      <c r="J250" s="1228" t="str">
        <f t="shared" ca="1" si="53"/>
        <v/>
      </c>
      <c r="K250" s="1228" t="str">
        <f t="shared" ca="1" si="53"/>
        <v/>
      </c>
      <c r="L250" s="1228" t="str">
        <f t="shared" ca="1" si="53"/>
        <v/>
      </c>
      <c r="M250" s="1228" t="str">
        <f t="shared" ca="1" si="53"/>
        <v/>
      </c>
    </row>
    <row r="251" spans="1:18" ht="15" customHeight="1">
      <c r="A251" s="1124"/>
      <c r="B251" s="1230" t="str">
        <f t="shared" ca="1" si="49"/>
        <v/>
      </c>
      <c r="C251" s="1226" t="str">
        <f t="shared" ca="1" si="52"/>
        <v/>
      </c>
      <c r="D251" s="1226" t="str">
        <f t="shared" ca="1" si="45"/>
        <v/>
      </c>
      <c r="E251" s="1226" t="str">
        <f t="shared" ca="1" si="50"/>
        <v/>
      </c>
      <c r="F251" s="1228" t="str">
        <f t="shared" ca="1" si="51"/>
        <v/>
      </c>
      <c r="G251" s="1228" t="str">
        <f t="shared" ca="1" si="53"/>
        <v/>
      </c>
      <c r="H251" s="1228" t="str">
        <f t="shared" ca="1" si="53"/>
        <v/>
      </c>
      <c r="I251" s="1228" t="str">
        <f t="shared" ca="1" si="53"/>
        <v/>
      </c>
      <c r="J251" s="1228" t="str">
        <f t="shared" ca="1" si="53"/>
        <v/>
      </c>
      <c r="K251" s="1228" t="str">
        <f t="shared" ca="1" si="53"/>
        <v/>
      </c>
      <c r="L251" s="1228" t="str">
        <f t="shared" ca="1" si="53"/>
        <v/>
      </c>
      <c r="M251" s="1228" t="str">
        <f t="shared" ca="1" si="53"/>
        <v/>
      </c>
    </row>
    <row r="252" spans="1:18" ht="15" customHeight="1">
      <c r="A252" s="1124"/>
      <c r="B252" s="1230" t="str">
        <f t="shared" ca="1" si="49"/>
        <v/>
      </c>
      <c r="C252" s="1226" t="str">
        <f t="shared" ca="1" si="52"/>
        <v/>
      </c>
      <c r="D252" s="1226" t="str">
        <f t="shared" ca="1" si="45"/>
        <v/>
      </c>
      <c r="E252" s="1226" t="str">
        <f t="shared" ca="1" si="50"/>
        <v/>
      </c>
      <c r="F252" s="1228" t="str">
        <f t="shared" ca="1" si="51"/>
        <v/>
      </c>
      <c r="G252" s="1228" t="str">
        <f t="shared" ca="1" si="53"/>
        <v/>
      </c>
      <c r="H252" s="1228" t="str">
        <f t="shared" ca="1" si="53"/>
        <v/>
      </c>
      <c r="I252" s="1228" t="str">
        <f t="shared" ca="1" si="53"/>
        <v/>
      </c>
      <c r="J252" s="1228" t="str">
        <f t="shared" ca="1" si="53"/>
        <v/>
      </c>
      <c r="K252" s="1228" t="str">
        <f t="shared" ca="1" si="53"/>
        <v/>
      </c>
      <c r="L252" s="1228" t="str">
        <f t="shared" ca="1" si="53"/>
        <v/>
      </c>
      <c r="M252" s="1228" t="str">
        <f t="shared" ca="1" si="53"/>
        <v/>
      </c>
    </row>
    <row r="253" spans="1:18" ht="15" customHeight="1">
      <c r="A253" s="1124"/>
      <c r="B253" s="1230" t="str">
        <f t="shared" ca="1" si="49"/>
        <v/>
      </c>
      <c r="C253" s="1226" t="str">
        <f t="shared" ca="1" si="52"/>
        <v/>
      </c>
      <c r="D253" s="1226" t="str">
        <f t="shared" ca="1" si="45"/>
        <v/>
      </c>
      <c r="E253" s="1226" t="str">
        <f t="shared" ca="1" si="50"/>
        <v/>
      </c>
      <c r="F253" s="1228" t="str">
        <f t="shared" ca="1" si="51"/>
        <v/>
      </c>
      <c r="G253" s="1228" t="str">
        <f t="shared" ca="1" si="53"/>
        <v/>
      </c>
      <c r="H253" s="1228" t="str">
        <f t="shared" ca="1" si="53"/>
        <v/>
      </c>
      <c r="I253" s="1228" t="str">
        <f t="shared" ca="1" si="53"/>
        <v/>
      </c>
      <c r="J253" s="1228" t="str">
        <f t="shared" ca="1" si="53"/>
        <v/>
      </c>
      <c r="K253" s="1228" t="str">
        <f t="shared" ca="1" si="53"/>
        <v/>
      </c>
      <c r="L253" s="1228" t="str">
        <f t="shared" ca="1" si="53"/>
        <v/>
      </c>
      <c r="M253" s="1228" t="str">
        <f t="shared" ca="1" si="53"/>
        <v/>
      </c>
    </row>
    <row r="254" spans="1:18" ht="15" customHeight="1">
      <c r="A254" s="1124"/>
      <c r="B254" s="1230" t="str">
        <f t="shared" ca="1" si="49"/>
        <v/>
      </c>
      <c r="C254" s="1226" t="str">
        <f t="shared" ca="1" si="52"/>
        <v/>
      </c>
      <c r="D254" s="1226" t="str">
        <f t="shared" ca="1" si="45"/>
        <v/>
      </c>
      <c r="E254" s="1226" t="str">
        <f t="shared" ca="1" si="50"/>
        <v/>
      </c>
      <c r="F254" s="1228" t="str">
        <f t="shared" ca="1" si="51"/>
        <v/>
      </c>
      <c r="G254" s="1228" t="str">
        <f t="shared" ca="1" si="53"/>
        <v/>
      </c>
      <c r="H254" s="1228" t="str">
        <f t="shared" ca="1" si="53"/>
        <v/>
      </c>
      <c r="I254" s="1228" t="str">
        <f t="shared" ca="1" si="53"/>
        <v/>
      </c>
      <c r="J254" s="1228" t="str">
        <f t="shared" ca="1" si="53"/>
        <v/>
      </c>
      <c r="K254" s="1228" t="str">
        <f t="shared" ca="1" si="53"/>
        <v/>
      </c>
      <c r="L254" s="1228" t="str">
        <f t="shared" ca="1" si="53"/>
        <v/>
      </c>
      <c r="M254" s="1228" t="str">
        <f t="shared" ca="1" si="53"/>
        <v/>
      </c>
    </row>
    <row r="255" spans="1:18" ht="15" customHeight="1">
      <c r="A255" s="1124"/>
      <c r="B255" s="1230" t="str">
        <f t="shared" ca="1" si="49"/>
        <v/>
      </c>
      <c r="C255" s="1226" t="str">
        <f t="shared" ca="1" si="52"/>
        <v/>
      </c>
      <c r="D255" s="1226" t="str">
        <f t="shared" ca="1" si="45"/>
        <v/>
      </c>
      <c r="E255" s="1226" t="str">
        <f t="shared" ca="1" si="50"/>
        <v/>
      </c>
      <c r="F255" s="1228" t="str">
        <f t="shared" ca="1" si="51"/>
        <v/>
      </c>
      <c r="G255" s="1228" t="str">
        <f t="shared" ca="1" si="53"/>
        <v/>
      </c>
      <c r="H255" s="1228" t="str">
        <f t="shared" ca="1" si="53"/>
        <v/>
      </c>
      <c r="I255" s="1228" t="str">
        <f t="shared" ca="1" si="53"/>
        <v/>
      </c>
      <c r="J255" s="1228" t="str">
        <f t="shared" ca="1" si="53"/>
        <v/>
      </c>
      <c r="K255" s="1228" t="str">
        <f t="shared" ca="1" si="53"/>
        <v/>
      </c>
      <c r="L255" s="1228" t="str">
        <f t="shared" ca="1" si="53"/>
        <v/>
      </c>
      <c r="M255" s="1228" t="str">
        <f t="shared" ca="1" si="53"/>
        <v/>
      </c>
    </row>
    <row r="256" spans="1:18" ht="15" customHeight="1">
      <c r="A256" s="1124"/>
      <c r="B256" s="1230" t="str">
        <f t="shared" ca="1" si="49"/>
        <v/>
      </c>
      <c r="C256" s="1226" t="str">
        <f t="shared" ca="1" si="52"/>
        <v/>
      </c>
      <c r="D256" s="1226" t="str">
        <f t="shared" ca="1" si="45"/>
        <v/>
      </c>
      <c r="E256" s="1226" t="str">
        <f t="shared" ca="1" si="50"/>
        <v/>
      </c>
      <c r="F256" s="1228" t="str">
        <f t="shared" ca="1" si="51"/>
        <v/>
      </c>
      <c r="G256" s="1228" t="str">
        <f t="shared" ca="1" si="53"/>
        <v/>
      </c>
      <c r="H256" s="1228" t="str">
        <f t="shared" ca="1" si="53"/>
        <v/>
      </c>
      <c r="I256" s="1228" t="str">
        <f t="shared" ca="1" si="53"/>
        <v/>
      </c>
      <c r="J256" s="1228" t="str">
        <f t="shared" ca="1" si="53"/>
        <v/>
      </c>
      <c r="K256" s="1228" t="str">
        <f t="shared" ca="1" si="53"/>
        <v/>
      </c>
      <c r="L256" s="1228" t="str">
        <f t="shared" ca="1" si="53"/>
        <v/>
      </c>
      <c r="M256" s="1228" t="str">
        <f t="shared" ca="1" si="53"/>
        <v/>
      </c>
    </row>
    <row r="257" spans="1:14" ht="15" customHeight="1">
      <c r="A257" s="1124"/>
      <c r="B257" s="1230" t="str">
        <f t="shared" ca="1" si="49"/>
        <v/>
      </c>
      <c r="C257" s="1226" t="str">
        <f t="shared" ca="1" si="52"/>
        <v/>
      </c>
      <c r="D257" s="1226" t="str">
        <f t="shared" ca="1" si="45"/>
        <v/>
      </c>
      <c r="E257" s="1226" t="str">
        <f t="shared" ca="1" si="50"/>
        <v/>
      </c>
      <c r="F257" s="1228" t="str">
        <f t="shared" ca="1" si="51"/>
        <v/>
      </c>
      <c r="G257" s="1228" t="str">
        <f t="shared" ca="1" si="53"/>
        <v/>
      </c>
      <c r="H257" s="1228" t="str">
        <f t="shared" ca="1" si="53"/>
        <v/>
      </c>
      <c r="I257" s="1228" t="str">
        <f t="shared" ca="1" si="53"/>
        <v/>
      </c>
      <c r="J257" s="1228" t="str">
        <f t="shared" ca="1" si="53"/>
        <v/>
      </c>
      <c r="K257" s="1228" t="str">
        <f t="shared" ca="1" si="53"/>
        <v/>
      </c>
      <c r="L257" s="1228" t="str">
        <f t="shared" ca="1" si="53"/>
        <v/>
      </c>
      <c r="M257" s="1228" t="str">
        <f t="shared" ca="1" si="53"/>
        <v/>
      </c>
    </row>
    <row r="258" spans="1:14" ht="15" customHeight="1">
      <c r="A258" s="1124"/>
      <c r="B258" s="1230" t="str">
        <f t="shared" ca="1" si="49"/>
        <v/>
      </c>
      <c r="C258" s="1226" t="str">
        <f t="shared" ca="1" si="52"/>
        <v/>
      </c>
      <c r="D258" s="1226" t="str">
        <f t="shared" ca="1" si="45"/>
        <v/>
      </c>
      <c r="E258" s="1226" t="str">
        <f t="shared" ca="1" si="50"/>
        <v/>
      </c>
      <c r="F258" s="1228" t="str">
        <f t="shared" ca="1" si="51"/>
        <v/>
      </c>
      <c r="G258" s="1228" t="str">
        <f t="shared" ca="1" si="53"/>
        <v/>
      </c>
      <c r="H258" s="1228" t="str">
        <f t="shared" ca="1" si="53"/>
        <v/>
      </c>
      <c r="I258" s="1228" t="str">
        <f t="shared" ca="1" si="53"/>
        <v/>
      </c>
      <c r="J258" s="1228" t="str">
        <f t="shared" ca="1" si="53"/>
        <v/>
      </c>
      <c r="K258" s="1228" t="str">
        <f t="shared" ca="1" si="53"/>
        <v/>
      </c>
      <c r="L258" s="1228" t="str">
        <f t="shared" ca="1" si="53"/>
        <v/>
      </c>
      <c r="M258" s="1228" t="str">
        <f t="shared" ca="1" si="53"/>
        <v/>
      </c>
    </row>
    <row r="259" spans="1:14" ht="15" customHeight="1">
      <c r="A259" s="1124"/>
      <c r="B259" s="1230" t="str">
        <f t="shared" ca="1" si="49"/>
        <v/>
      </c>
      <c r="C259" s="1226" t="str">
        <f t="shared" ca="1" si="52"/>
        <v/>
      </c>
      <c r="D259" s="1226" t="str">
        <f t="shared" ca="1" si="45"/>
        <v/>
      </c>
      <c r="E259" s="1226" t="str">
        <f t="shared" ca="1" si="50"/>
        <v/>
      </c>
      <c r="F259" s="1228" t="str">
        <f t="shared" ca="1" si="51"/>
        <v/>
      </c>
      <c r="G259" s="1228" t="str">
        <f t="shared" ca="1" si="53"/>
        <v/>
      </c>
      <c r="H259" s="1228" t="str">
        <f t="shared" ca="1" si="53"/>
        <v/>
      </c>
      <c r="I259" s="1228" t="str">
        <f t="shared" ca="1" si="53"/>
        <v/>
      </c>
      <c r="J259" s="1228" t="str">
        <f t="shared" ca="1" si="53"/>
        <v/>
      </c>
      <c r="K259" s="1228" t="str">
        <f t="shared" ca="1" si="53"/>
        <v/>
      </c>
      <c r="L259" s="1228" t="str">
        <f t="shared" ca="1" si="53"/>
        <v/>
      </c>
      <c r="M259" s="1228" t="str">
        <f t="shared" ca="1" si="53"/>
        <v/>
      </c>
    </row>
    <row r="260" spans="1:14" ht="15" customHeight="1">
      <c r="A260" s="1124"/>
      <c r="B260" s="1230" t="str">
        <f t="shared" ca="1" si="49"/>
        <v/>
      </c>
      <c r="C260" s="1226" t="str">
        <f t="shared" ca="1" si="52"/>
        <v/>
      </c>
      <c r="D260" s="1226" t="str">
        <f t="shared" ca="1" si="45"/>
        <v/>
      </c>
      <c r="E260" s="1226" t="str">
        <f t="shared" ca="1" si="50"/>
        <v/>
      </c>
      <c r="F260" s="1228" t="str">
        <f t="shared" ca="1" si="51"/>
        <v/>
      </c>
      <c r="G260" s="1228" t="str">
        <f t="shared" ref="G260:M268" ca="1" si="54">IFERROR(IF(NOT($E260 = 7), "",INDIRECT($C260 &amp;"!" &amp;ADDRESS($D260,  COLUMN(INDIRECT(INDEX($AD$148:$AD$171, MATCH($C260, $Z$148:$Z$158, 0)) &amp; $D260)) +  G$149 - 1))), "")</f>
        <v/>
      </c>
      <c r="H260" s="1228" t="str">
        <f t="shared" ca="1" si="54"/>
        <v/>
      </c>
      <c r="I260" s="1228" t="str">
        <f t="shared" ca="1" si="54"/>
        <v/>
      </c>
      <c r="J260" s="1228" t="str">
        <f t="shared" ca="1" si="54"/>
        <v/>
      </c>
      <c r="K260" s="1228" t="str">
        <f t="shared" ca="1" si="54"/>
        <v/>
      </c>
      <c r="L260" s="1228" t="str">
        <f t="shared" ca="1" si="54"/>
        <v/>
      </c>
      <c r="M260" s="1228" t="str">
        <f t="shared" ca="1" si="54"/>
        <v/>
      </c>
    </row>
    <row r="261" spans="1:14" ht="15" customHeight="1">
      <c r="A261" s="1124"/>
      <c r="B261" s="1230" t="str">
        <f t="shared" ca="1" si="49"/>
        <v/>
      </c>
      <c r="C261" s="1226" t="str">
        <f t="shared" ca="1" si="52"/>
        <v/>
      </c>
      <c r="D261" s="1226" t="str">
        <f t="shared" ca="1" si="45"/>
        <v/>
      </c>
      <c r="E261" s="1226" t="str">
        <f t="shared" ca="1" si="50"/>
        <v/>
      </c>
      <c r="F261" s="1228" t="str">
        <f t="shared" ca="1" si="51"/>
        <v/>
      </c>
      <c r="G261" s="1228" t="str">
        <f t="shared" ca="1" si="54"/>
        <v/>
      </c>
      <c r="H261" s="1228" t="str">
        <f t="shared" ca="1" si="54"/>
        <v/>
      </c>
      <c r="I261" s="1228" t="str">
        <f t="shared" ca="1" si="54"/>
        <v/>
      </c>
      <c r="J261" s="1228" t="str">
        <f t="shared" ca="1" si="54"/>
        <v/>
      </c>
      <c r="K261" s="1228" t="str">
        <f t="shared" ca="1" si="54"/>
        <v/>
      </c>
      <c r="L261" s="1228" t="str">
        <f t="shared" ca="1" si="54"/>
        <v/>
      </c>
      <c r="M261" s="1228" t="str">
        <f t="shared" ca="1" si="54"/>
        <v/>
      </c>
    </row>
    <row r="262" spans="1:14" ht="15" customHeight="1">
      <c r="A262" s="1124"/>
      <c r="B262" s="1230" t="str">
        <f t="shared" ca="1" si="49"/>
        <v/>
      </c>
      <c r="C262" s="1226" t="str">
        <f t="shared" ca="1" si="52"/>
        <v/>
      </c>
      <c r="D262" s="1226" t="str">
        <f t="shared" ca="1" si="45"/>
        <v/>
      </c>
      <c r="E262" s="1226" t="str">
        <f t="shared" ca="1" si="50"/>
        <v/>
      </c>
      <c r="F262" s="1228" t="str">
        <f t="shared" ca="1" si="51"/>
        <v/>
      </c>
      <c r="G262" s="1228" t="str">
        <f t="shared" ca="1" si="54"/>
        <v/>
      </c>
      <c r="H262" s="1228" t="str">
        <f t="shared" ca="1" si="54"/>
        <v/>
      </c>
      <c r="I262" s="1228" t="str">
        <f t="shared" ca="1" si="54"/>
        <v/>
      </c>
      <c r="J262" s="1228" t="str">
        <f t="shared" ca="1" si="54"/>
        <v/>
      </c>
      <c r="K262" s="1228" t="str">
        <f t="shared" ca="1" si="54"/>
        <v/>
      </c>
      <c r="L262" s="1228" t="str">
        <f t="shared" ca="1" si="54"/>
        <v/>
      </c>
      <c r="M262" s="1228" t="str">
        <f t="shared" ca="1" si="54"/>
        <v/>
      </c>
    </row>
    <row r="263" spans="1:14" ht="15" customHeight="1">
      <c r="A263" s="1124"/>
      <c r="B263" s="1230" t="str">
        <f t="shared" ca="1" si="49"/>
        <v/>
      </c>
      <c r="C263" s="1226" t="str">
        <f t="shared" ca="1" si="52"/>
        <v/>
      </c>
      <c r="D263" s="1226" t="str">
        <f t="shared" ca="1" si="45"/>
        <v/>
      </c>
      <c r="E263" s="1226" t="str">
        <f t="shared" ca="1" si="50"/>
        <v/>
      </c>
      <c r="F263" s="1228" t="str">
        <f t="shared" ca="1" si="51"/>
        <v/>
      </c>
      <c r="G263" s="1228" t="str">
        <f t="shared" ca="1" si="54"/>
        <v/>
      </c>
      <c r="H263" s="1228" t="str">
        <f t="shared" ca="1" si="54"/>
        <v/>
      </c>
      <c r="I263" s="1228" t="str">
        <f t="shared" ca="1" si="54"/>
        <v/>
      </c>
      <c r="J263" s="1228" t="str">
        <f t="shared" ca="1" si="54"/>
        <v/>
      </c>
      <c r="K263" s="1228" t="str">
        <f t="shared" ca="1" si="54"/>
        <v/>
      </c>
      <c r="L263" s="1228" t="str">
        <f t="shared" ca="1" si="54"/>
        <v/>
      </c>
      <c r="M263" s="1228" t="str">
        <f t="shared" ca="1" si="54"/>
        <v/>
      </c>
    </row>
    <row r="264" spans="1:14" ht="15" customHeight="1">
      <c r="A264" s="1124"/>
      <c r="B264" s="1230" t="str">
        <f t="shared" ca="1" si="49"/>
        <v/>
      </c>
      <c r="C264" s="1226" t="str">
        <f t="shared" ca="1" si="52"/>
        <v/>
      </c>
      <c r="D264" s="1226" t="str">
        <f t="shared" ca="1" si="45"/>
        <v/>
      </c>
      <c r="E264" s="1226" t="str">
        <f t="shared" ca="1" si="50"/>
        <v/>
      </c>
      <c r="F264" s="1228" t="str">
        <f t="shared" ca="1" si="51"/>
        <v/>
      </c>
      <c r="G264" s="1228" t="str">
        <f t="shared" ca="1" si="54"/>
        <v/>
      </c>
      <c r="H264" s="1228" t="str">
        <f t="shared" ca="1" si="54"/>
        <v/>
      </c>
      <c r="I264" s="1228" t="str">
        <f t="shared" ca="1" si="54"/>
        <v/>
      </c>
      <c r="J264" s="1228" t="str">
        <f t="shared" ca="1" si="54"/>
        <v/>
      </c>
      <c r="K264" s="1228" t="str">
        <f t="shared" ca="1" si="54"/>
        <v/>
      </c>
      <c r="L264" s="1228" t="str">
        <f t="shared" ca="1" si="54"/>
        <v/>
      </c>
      <c r="M264" s="1228" t="str">
        <f t="shared" ca="1" si="54"/>
        <v/>
      </c>
    </row>
    <row r="265" spans="1:14" ht="15" customHeight="1">
      <c r="B265" s="1229" t="str">
        <f t="shared" ca="1" si="49"/>
        <v/>
      </c>
      <c r="C265" s="1225" t="str">
        <f t="shared" ca="1" si="52"/>
        <v/>
      </c>
      <c r="D265" s="1225" t="str">
        <f t="shared" ca="1" si="45"/>
        <v/>
      </c>
      <c r="E265" s="1225" t="str">
        <f t="shared" ca="1" si="50"/>
        <v/>
      </c>
      <c r="F265" s="1227" t="str">
        <f t="shared" ca="1" si="51"/>
        <v/>
      </c>
      <c r="G265" s="1227" t="str">
        <f t="shared" ca="1" si="54"/>
        <v/>
      </c>
      <c r="H265" s="1227" t="str">
        <f t="shared" ca="1" si="54"/>
        <v/>
      </c>
      <c r="I265" s="1227" t="str">
        <f t="shared" ca="1" si="54"/>
        <v/>
      </c>
      <c r="J265" s="1227" t="str">
        <f t="shared" ca="1" si="54"/>
        <v/>
      </c>
      <c r="K265" s="1227" t="str">
        <f t="shared" ca="1" si="54"/>
        <v/>
      </c>
      <c r="L265" s="1227" t="str">
        <f t="shared" ca="1" si="54"/>
        <v/>
      </c>
      <c r="M265" s="1227" t="str">
        <f t="shared" ca="1" si="54"/>
        <v/>
      </c>
    </row>
    <row r="266" spans="1:14" ht="15" customHeight="1">
      <c r="B266" s="1229" t="str">
        <f t="shared" ca="1" si="49"/>
        <v/>
      </c>
      <c r="C266" s="1225" t="str">
        <f t="shared" ca="1" si="52"/>
        <v/>
      </c>
      <c r="D266" s="1225" t="str">
        <f t="shared" ca="1" si="45"/>
        <v/>
      </c>
      <c r="E266" s="1225" t="str">
        <f t="shared" ca="1" si="50"/>
        <v/>
      </c>
      <c r="F266" s="1227" t="str">
        <f t="shared" ca="1" si="51"/>
        <v/>
      </c>
      <c r="G266" s="1227" t="str">
        <f t="shared" ca="1" si="54"/>
        <v/>
      </c>
      <c r="H266" s="1227" t="str">
        <f t="shared" ca="1" si="54"/>
        <v/>
      </c>
      <c r="I266" s="1227" t="str">
        <f t="shared" ca="1" si="54"/>
        <v/>
      </c>
      <c r="J266" s="1227" t="str">
        <f t="shared" ca="1" si="54"/>
        <v/>
      </c>
      <c r="K266" s="1227" t="str">
        <f t="shared" ca="1" si="54"/>
        <v/>
      </c>
      <c r="L266" s="1227" t="str">
        <f t="shared" ca="1" si="54"/>
        <v/>
      </c>
      <c r="M266" s="1227" t="str">
        <f t="shared" ca="1" si="54"/>
        <v/>
      </c>
      <c r="N266" s="1111"/>
    </row>
    <row r="267" spans="1:14" ht="15" customHeight="1">
      <c r="B267" s="1229" t="str">
        <f t="shared" ca="1" si="49"/>
        <v/>
      </c>
      <c r="C267" s="1225" t="str">
        <f t="shared" ca="1" si="52"/>
        <v/>
      </c>
      <c r="D267" s="1225" t="str">
        <f t="shared" ca="1" si="45"/>
        <v/>
      </c>
      <c r="E267" s="1225" t="str">
        <f t="shared" ca="1" si="50"/>
        <v/>
      </c>
      <c r="F267" s="1227" t="str">
        <f t="shared" ca="1" si="51"/>
        <v/>
      </c>
      <c r="G267" s="1227" t="str">
        <f t="shared" ca="1" si="54"/>
        <v/>
      </c>
      <c r="H267" s="1227" t="str">
        <f t="shared" ca="1" si="54"/>
        <v/>
      </c>
      <c r="I267" s="1227" t="str">
        <f t="shared" ca="1" si="54"/>
        <v/>
      </c>
      <c r="J267" s="1227" t="str">
        <f t="shared" ca="1" si="54"/>
        <v/>
      </c>
      <c r="K267" s="1227" t="str">
        <f t="shared" ca="1" si="54"/>
        <v/>
      </c>
      <c r="L267" s="1227" t="str">
        <f t="shared" ca="1" si="54"/>
        <v/>
      </c>
      <c r="M267" s="1227" t="str">
        <f t="shared" ca="1" si="54"/>
        <v/>
      </c>
      <c r="N267" s="1111"/>
    </row>
    <row r="268" spans="1:14" ht="15" customHeight="1">
      <c r="B268" s="1229" t="str">
        <f t="shared" ca="1" si="49"/>
        <v/>
      </c>
      <c r="C268" s="1225" t="str">
        <f t="shared" ca="1" si="52"/>
        <v/>
      </c>
      <c r="D268" s="1225" t="str">
        <f t="shared" ca="1" si="45"/>
        <v/>
      </c>
      <c r="E268" s="1225" t="str">
        <f t="shared" ca="1" si="50"/>
        <v/>
      </c>
      <c r="F268" s="1227" t="str">
        <f t="shared" ca="1" si="51"/>
        <v/>
      </c>
      <c r="G268" s="1227" t="str">
        <f t="shared" ca="1" si="54"/>
        <v/>
      </c>
      <c r="H268" s="1227" t="str">
        <f t="shared" ca="1" si="54"/>
        <v/>
      </c>
      <c r="I268" s="1227" t="str">
        <f t="shared" ca="1" si="54"/>
        <v/>
      </c>
      <c r="J268" s="1227" t="str">
        <f t="shared" ca="1" si="54"/>
        <v/>
      </c>
      <c r="K268" s="1227" t="str">
        <f t="shared" ca="1" si="54"/>
        <v/>
      </c>
      <c r="L268" s="1227" t="str">
        <f t="shared" ca="1" si="54"/>
        <v/>
      </c>
      <c r="M268" s="1227" t="str">
        <f t="shared" ca="1" si="54"/>
        <v/>
      </c>
      <c r="N268" s="1111"/>
    </row>
    <row r="269" spans="1:14" ht="15" customHeight="1"/>
    <row r="270" spans="1:14" ht="15" customHeight="1"/>
    <row r="271" spans="1:14" ht="15" customHeight="1"/>
    <row r="272" spans="1:14"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sheetData>
  <mergeCells count="6">
    <mergeCell ref="B1:M1"/>
    <mergeCell ref="B2:M2"/>
    <mergeCell ref="G148:M148"/>
    <mergeCell ref="B141:M147"/>
    <mergeCell ref="B140:M140"/>
    <mergeCell ref="B139:M139"/>
  </mergeCells>
  <phoneticPr fontId="7" type="noConversion"/>
  <conditionalFormatting sqref="A123:A138 A1:A4 A269:A693">
    <cfRule type="duplicateValues" dxfId="34" priority="24"/>
  </conditionalFormatting>
  <conditionalFormatting sqref="A120">
    <cfRule type="duplicateValues" dxfId="33" priority="20"/>
  </conditionalFormatting>
  <conditionalFormatting sqref="A1:A1048576">
    <cfRule type="duplicateValues" dxfId="32" priority="21"/>
  </conditionalFormatting>
  <conditionalFormatting sqref="A139:A268">
    <cfRule type="duplicateValues" dxfId="31" priority="19"/>
  </conditionalFormatting>
  <conditionalFormatting sqref="F150:F268">
    <cfRule type="expression" dxfId="30" priority="18">
      <formula>NOT(ISERROR(FIND(".", F150)))</formula>
    </cfRule>
  </conditionalFormatting>
  <conditionalFormatting sqref="F150:F268">
    <cfRule type="expression" dxfId="29" priority="206" stopIfTrue="1">
      <formula>NOT(ISERROR(FIND("$", $B150)))</formula>
    </cfRule>
  </conditionalFormatting>
  <conditionalFormatting sqref="G150:G268">
    <cfRule type="expression" dxfId="28" priority="15">
      <formula>NOT(ISERROR(FIND(".", G150)))</formula>
    </cfRule>
  </conditionalFormatting>
  <conditionalFormatting sqref="G150:G268">
    <cfRule type="expression" dxfId="27" priority="16" stopIfTrue="1">
      <formula>NOT(ISERROR(FIND("$", $B150)))</formula>
    </cfRule>
  </conditionalFormatting>
  <conditionalFormatting sqref="H150:H268">
    <cfRule type="expression" dxfId="26" priority="13">
      <formula>NOT(ISERROR(FIND(".", H150)))</formula>
    </cfRule>
  </conditionalFormatting>
  <conditionalFormatting sqref="H150:H268">
    <cfRule type="expression" dxfId="25" priority="14" stopIfTrue="1">
      <formula>NOT(ISERROR(FIND("$", $B150)))</formula>
    </cfRule>
  </conditionalFormatting>
  <conditionalFormatting sqref="I150:I268">
    <cfRule type="expression" dxfId="24" priority="11">
      <formula>NOT(ISERROR(FIND(".", I150)))</formula>
    </cfRule>
  </conditionalFormatting>
  <conditionalFormatting sqref="I150:I268">
    <cfRule type="expression" dxfId="23" priority="12" stopIfTrue="1">
      <formula>NOT(ISERROR(FIND("$", $B150)))</formula>
    </cfRule>
  </conditionalFormatting>
  <conditionalFormatting sqref="J150:J268">
    <cfRule type="expression" dxfId="22" priority="9">
      <formula>NOT(ISERROR(FIND(".", J150)))</formula>
    </cfRule>
  </conditionalFormatting>
  <conditionalFormatting sqref="J150:J268">
    <cfRule type="expression" dxfId="21" priority="10" stopIfTrue="1">
      <formula>NOT(ISERROR(FIND("$", $B150)))</formula>
    </cfRule>
  </conditionalFormatting>
  <conditionalFormatting sqref="K150:K268">
    <cfRule type="expression" dxfId="20" priority="7">
      <formula>NOT(ISERROR(FIND(".", K150)))</formula>
    </cfRule>
  </conditionalFormatting>
  <conditionalFormatting sqref="K150:K268">
    <cfRule type="expression" dxfId="19" priority="8" stopIfTrue="1">
      <formula>NOT(ISERROR(FIND("$", $B150)))</formula>
    </cfRule>
  </conditionalFormatting>
  <conditionalFormatting sqref="L150:L268">
    <cfRule type="expression" dxfId="18" priority="5">
      <formula>NOT(ISERROR(FIND(".", L150)))</formula>
    </cfRule>
  </conditionalFormatting>
  <conditionalFormatting sqref="L150:L268">
    <cfRule type="expression" dxfId="17" priority="6" stopIfTrue="1">
      <formula>NOT(ISERROR(FIND("$", $B150)))</formula>
    </cfRule>
  </conditionalFormatting>
  <conditionalFormatting sqref="M150:M268">
    <cfRule type="expression" dxfId="16" priority="3">
      <formula>NOT(ISERROR(FIND(".", M150)))</formula>
    </cfRule>
  </conditionalFormatting>
  <conditionalFormatting sqref="M150:M268">
    <cfRule type="expression" dxfId="15" priority="4" stopIfTrue="1">
      <formula>NOT(ISERROR(FIND("$", $B150)))</formula>
    </cfRule>
  </conditionalFormatting>
  <conditionalFormatting sqref="G150:M268">
    <cfRule type="expression" dxfId="14" priority="1" stopIfTrue="1">
      <formula>IF(AND(NOT(G150 = 0), ABS(G150) &lt; 0.01), TRUE, FALSE)</formula>
    </cfRule>
    <cfRule type="expression" dxfId="13" priority="2" stopIfTrue="1">
      <formula>NOT(ISERROR(FIND("$", $B150)))</formula>
    </cfRule>
  </conditionalFormatting>
  <pageMargins left="0.5" right="0.5" top="0.5" bottom="0.5" header="0.5" footer="0.5"/>
  <pageSetup orientation="landscape" r:id="rId1"/>
  <headerFooter alignWithMargins="0">
    <oddFooter>&amp;C &amp;P&amp;R&amp;F, &amp;D</oddFooter>
  </headerFooter>
  <rowBreaks count="2" manualBreakCount="2">
    <brk id="61" min="1" max="12" man="1"/>
    <brk id="87" min="1" max="12" man="1"/>
  </rowBreaks>
  <cellWatches>
    <cellWatch r="E169"/>
    <cellWatch r="G169"/>
  </cellWatche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3" tint="0.39997558519241921"/>
  </sheetPr>
  <dimension ref="A1:N60"/>
  <sheetViews>
    <sheetView workbookViewId="0">
      <pane ySplit="3" topLeftCell="A4" activePane="bottomLeft" state="frozen"/>
      <selection pane="bottomLeft" activeCell="A4" sqref="A4"/>
    </sheetView>
  </sheetViews>
  <sheetFormatPr baseColWidth="10" defaultColWidth="8.83203125" defaultRowHeight="13"/>
  <cols>
    <col min="2" max="2" width="13.6640625" customWidth="1"/>
    <col min="4" max="4" width="25.5" customWidth="1"/>
    <col min="5" max="5" width="47.5" customWidth="1"/>
    <col min="6" max="12" width="12.33203125" style="416" customWidth="1"/>
    <col min="13" max="14" width="10.6640625" customWidth="1"/>
  </cols>
  <sheetData>
    <row r="1" spans="2:14" ht="18">
      <c r="B1" s="1277" t="s">
        <v>560</v>
      </c>
      <c r="C1" s="1277"/>
      <c r="D1" s="1277"/>
      <c r="E1" s="1277"/>
      <c r="F1" s="1277"/>
      <c r="G1" s="1277"/>
      <c r="H1" s="1277"/>
      <c r="I1" s="1277"/>
      <c r="J1" s="1277"/>
      <c r="K1" s="1277"/>
      <c r="L1" s="1277"/>
    </row>
    <row r="2" spans="2:14" ht="18">
      <c r="B2" s="1314" t="str">
        <f>'Battery Design'!B2:M2</f>
        <v>LiFePO4 / Graphite</v>
      </c>
      <c r="C2" s="1315"/>
      <c r="D2" s="1315"/>
      <c r="E2" s="1315"/>
      <c r="F2" s="1315"/>
      <c r="G2" s="1315"/>
      <c r="H2" s="1315"/>
      <c r="I2" s="1315"/>
      <c r="J2" s="1315"/>
      <c r="K2" s="1315"/>
      <c r="L2" s="1315"/>
    </row>
    <row r="3" spans="2:14" ht="16">
      <c r="B3" s="13" t="s">
        <v>593</v>
      </c>
      <c r="F3" s="95" t="s">
        <v>0</v>
      </c>
      <c r="G3" s="95" t="s">
        <v>1</v>
      </c>
      <c r="H3" s="95" t="s">
        <v>2</v>
      </c>
      <c r="I3" s="95" t="s">
        <v>3</v>
      </c>
      <c r="J3" s="95" t="s">
        <v>4</v>
      </c>
      <c r="K3" s="95" t="s">
        <v>530</v>
      </c>
      <c r="L3" s="95" t="s">
        <v>531</v>
      </c>
    </row>
    <row r="4" spans="2:14">
      <c r="B4" t="s">
        <v>579</v>
      </c>
      <c r="F4" s="416">
        <f>'Battery Design'!G$75</f>
        <v>400</v>
      </c>
      <c r="G4" s="416">
        <f>'Battery Design'!H$75</f>
        <v>400</v>
      </c>
      <c r="H4" s="416">
        <f>'Battery Design'!I$75</f>
        <v>400</v>
      </c>
      <c r="I4" s="416">
        <f>'Battery Design'!J$75</f>
        <v>400</v>
      </c>
      <c r="J4" s="416">
        <f>'Battery Design'!K$75</f>
        <v>400</v>
      </c>
      <c r="K4" s="416">
        <f>'Battery Design'!L$75</f>
        <v>400</v>
      </c>
      <c r="L4" s="416">
        <f>'Battery Design'!M$75</f>
        <v>400</v>
      </c>
    </row>
    <row r="5" spans="2:14">
      <c r="B5" t="s">
        <v>580</v>
      </c>
      <c r="F5" s="436">
        <f>'Battery Design'!G$72*F6</f>
        <v>20</v>
      </c>
      <c r="G5" s="436">
        <f>'Battery Design'!H$72*G6</f>
        <v>20</v>
      </c>
      <c r="H5" s="436">
        <f>'Battery Design'!I$72*H6</f>
        <v>20</v>
      </c>
      <c r="I5" s="436">
        <f>'Battery Design'!J$72*I6</f>
        <v>20</v>
      </c>
      <c r="J5" s="436">
        <f>'Battery Design'!K$72*J6</f>
        <v>20</v>
      </c>
      <c r="K5" s="436">
        <f>'Battery Design'!L$72*K6</f>
        <v>20</v>
      </c>
      <c r="L5" s="436">
        <f>'Battery Design'!M$72*L6</f>
        <v>20</v>
      </c>
    </row>
    <row r="6" spans="2:14">
      <c r="B6" t="s">
        <v>581</v>
      </c>
      <c r="F6" s="436">
        <f>'Battery Design'!G$56</f>
        <v>1</v>
      </c>
      <c r="G6" s="436">
        <f>'Battery Design'!H$56</f>
        <v>1</v>
      </c>
      <c r="H6" s="436">
        <f>'Battery Design'!I$56</f>
        <v>1</v>
      </c>
      <c r="I6" s="436">
        <f>'Battery Design'!J$56</f>
        <v>1</v>
      </c>
      <c r="J6" s="436">
        <f>'Battery Design'!K$56</f>
        <v>1</v>
      </c>
      <c r="K6" s="436">
        <f>'Battery Design'!L$56</f>
        <v>1</v>
      </c>
      <c r="L6" s="436">
        <f>'Battery Design'!M$56</f>
        <v>1</v>
      </c>
    </row>
    <row r="7" spans="2:14">
      <c r="B7" s="161" t="s">
        <v>463</v>
      </c>
      <c r="F7" s="437">
        <f ca="1">'Summary of Results'!G$9</f>
        <v>99.999999999999957</v>
      </c>
      <c r="G7" s="437">
        <f ca="1">'Summary of Results'!H$9</f>
        <v>99.999999999999957</v>
      </c>
      <c r="H7" s="437">
        <f ca="1">'Summary of Results'!I$9</f>
        <v>99.999999999999957</v>
      </c>
      <c r="I7" s="437">
        <f ca="1">'Summary of Results'!J$9</f>
        <v>99.999999999999957</v>
      </c>
      <c r="J7" s="437">
        <f ca="1">'Summary of Results'!K$9</f>
        <v>99.999999999999957</v>
      </c>
      <c r="K7" s="437">
        <f ca="1">'Summary of Results'!L$9</f>
        <v>99.999999999999957</v>
      </c>
      <c r="L7" s="437">
        <f ca="1">'Summary of Results'!M$9</f>
        <v>99.999999999999957</v>
      </c>
    </row>
    <row r="8" spans="2:14">
      <c r="B8" s="161" t="s">
        <v>561</v>
      </c>
      <c r="F8" s="416">
        <f>'Summary of Results'!G$13</f>
        <v>200</v>
      </c>
      <c r="G8" s="416">
        <f>'Summary of Results'!H$13</f>
        <v>200</v>
      </c>
      <c r="H8" s="416">
        <f>'Summary of Results'!I$13</f>
        <v>200</v>
      </c>
      <c r="I8" s="416">
        <f>'Summary of Results'!J$13</f>
        <v>200</v>
      </c>
      <c r="J8" s="416">
        <f>'Summary of Results'!K$13</f>
        <v>200</v>
      </c>
      <c r="K8" s="416">
        <f>'Summary of Results'!L$13</f>
        <v>200</v>
      </c>
      <c r="L8" s="416">
        <f>'Summary of Results'!M$13</f>
        <v>200</v>
      </c>
    </row>
    <row r="9" spans="2:14">
      <c r="B9" t="s">
        <v>467</v>
      </c>
      <c r="F9" s="436">
        <f>'Summary of Results'!G$11</f>
        <v>328.2</v>
      </c>
      <c r="G9" s="436">
        <f>'Summary of Results'!H$11</f>
        <v>328.2</v>
      </c>
      <c r="H9" s="436">
        <f>'Summary of Results'!I$11</f>
        <v>328.2</v>
      </c>
      <c r="I9" s="436">
        <f>'Summary of Results'!J$11</f>
        <v>328.2</v>
      </c>
      <c r="J9" s="436">
        <f>'Summary of Results'!K$11</f>
        <v>328.2</v>
      </c>
      <c r="K9" s="436">
        <f>'Summary of Results'!L$11</f>
        <v>328.2</v>
      </c>
      <c r="L9" s="436">
        <f>'Summary of Results'!M$11</f>
        <v>328.2</v>
      </c>
    </row>
    <row r="10" spans="2:14">
      <c r="B10" s="161" t="s">
        <v>472</v>
      </c>
      <c r="E10" s="168"/>
      <c r="F10" s="437">
        <f ca="1">'Summary of Results'!G10</f>
        <v>309.40234438966644</v>
      </c>
      <c r="G10" s="437">
        <f ca="1">'Summary of Results'!H10</f>
        <v>309.40234438966644</v>
      </c>
      <c r="H10" s="437">
        <f ca="1">'Summary of Results'!I10</f>
        <v>309.40234438966644</v>
      </c>
      <c r="I10" s="437">
        <f ca="1">'Summary of Results'!J10</f>
        <v>309.40234438966644</v>
      </c>
      <c r="J10" s="437">
        <f ca="1">'Summary of Results'!K10</f>
        <v>309.40234438966644</v>
      </c>
      <c r="K10" s="437">
        <f ca="1">'Summary of Results'!L10</f>
        <v>309.40234438966644</v>
      </c>
      <c r="L10" s="437">
        <f ca="1">'Summary of Results'!M10</f>
        <v>309.40234438966644</v>
      </c>
      <c r="N10" s="168"/>
    </row>
    <row r="11" spans="2:14">
      <c r="B11" s="161" t="s">
        <v>148</v>
      </c>
      <c r="F11" s="436">
        <f ca="1">'Battery Design'!G$152</f>
        <v>674.26615593889778</v>
      </c>
      <c r="G11" s="436">
        <f ca="1">'Battery Design'!H$152</f>
        <v>674.26615593889778</v>
      </c>
      <c r="H11" s="436">
        <f ca="1">'Battery Design'!I$152</f>
        <v>674.26615593889778</v>
      </c>
      <c r="I11" s="436">
        <f ca="1">'Battery Design'!J$152</f>
        <v>674.26615593889778</v>
      </c>
      <c r="J11" s="436">
        <f ca="1">'Battery Design'!K$152</f>
        <v>674.26615593889778</v>
      </c>
      <c r="K11" s="436">
        <f ca="1">'Battery Design'!L$152</f>
        <v>674.26615593889778</v>
      </c>
      <c r="L11" s="436">
        <f ca="1">'Battery Design'!M$152</f>
        <v>674.26615593889778</v>
      </c>
    </row>
    <row r="12" spans="2:14">
      <c r="B12" s="161" t="s">
        <v>562</v>
      </c>
      <c r="F12" s="436">
        <f ca="1">'Summary of Results'!G$18</f>
        <v>251.32099900724103</v>
      </c>
      <c r="G12" s="436">
        <f ca="1">'Summary of Results'!H$18</f>
        <v>251.32099900724103</v>
      </c>
      <c r="H12" s="436">
        <f ca="1">'Summary of Results'!I$18</f>
        <v>251.32099900724103</v>
      </c>
      <c r="I12" s="436">
        <f ca="1">'Summary of Results'!J$18</f>
        <v>251.32099900724103</v>
      </c>
      <c r="J12" s="436">
        <f ca="1">'Summary of Results'!K$18</f>
        <v>251.32099900724103</v>
      </c>
      <c r="K12" s="436">
        <f ca="1">'Summary of Results'!L$18</f>
        <v>251.32099900724103</v>
      </c>
      <c r="L12" s="436">
        <f ca="1">'Summary of Results'!M$18</f>
        <v>251.32099900724103</v>
      </c>
    </row>
    <row r="13" spans="2:14">
      <c r="B13" s="256" t="s">
        <v>683</v>
      </c>
      <c r="F13" s="438">
        <f>IF('Battery Design'!G62="EV",'EV Charging'!G31," ")</f>
        <v>36</v>
      </c>
      <c r="G13" s="438">
        <f>IF('Battery Design'!H62="EV",'EV Charging'!H31," ")</f>
        <v>36</v>
      </c>
      <c r="H13" s="438">
        <f>IF('Battery Design'!I62="EV",'EV Charging'!I31," ")</f>
        <v>36</v>
      </c>
      <c r="I13" s="438">
        <f>IF('Battery Design'!J62="EV",'EV Charging'!J31," ")</f>
        <v>36</v>
      </c>
      <c r="J13" s="438">
        <f>IF('Battery Design'!K62="EV",'EV Charging'!K31," ")</f>
        <v>36</v>
      </c>
      <c r="K13" s="438">
        <f>IF('Battery Design'!L62="EV",'EV Charging'!L31," ")</f>
        <v>36</v>
      </c>
      <c r="L13" s="438">
        <f>IF('Battery Design'!M62="EV",'EV Charging'!M31," ")</f>
        <v>36</v>
      </c>
    </row>
    <row r="14" spans="2:14">
      <c r="B14" s="256" t="s">
        <v>684</v>
      </c>
      <c r="F14" s="438">
        <f>IF('Battery Design'!G62="EV",'EV Charging'!G33," ")</f>
        <v>56</v>
      </c>
      <c r="G14" s="438">
        <f>IF('Battery Design'!H62="EV",'EV Charging'!H33," ")</f>
        <v>56</v>
      </c>
      <c r="H14" s="438">
        <f>IF('Battery Design'!I62="EV",'EV Charging'!I33," ")</f>
        <v>56</v>
      </c>
      <c r="I14" s="438">
        <f>IF('Battery Design'!J62="EV",'EV Charging'!J33," ")</f>
        <v>56</v>
      </c>
      <c r="J14" s="438">
        <f>IF('Battery Design'!K62="EV",'EV Charging'!K33," ")</f>
        <v>56</v>
      </c>
      <c r="K14" s="438">
        <f>IF('Battery Design'!L62="EV",'EV Charging'!L33," ")</f>
        <v>56</v>
      </c>
      <c r="L14" s="438">
        <f>IF('Battery Design'!M62="EV",'EV Charging'!M33," ")</f>
        <v>56</v>
      </c>
    </row>
    <row r="15" spans="2:14">
      <c r="E15" s="256"/>
      <c r="F15" s="438" t="str">
        <f>IF('Battery Design'!G64="EV",'EV Charging'!G33," ")</f>
        <v xml:space="preserve"> </v>
      </c>
      <c r="G15" s="438" t="str">
        <f>IF('Battery Design'!H64="EV",'EV Charging'!H33," ")</f>
        <v xml:space="preserve"> </v>
      </c>
      <c r="H15" s="438" t="str">
        <f>IF('Battery Design'!I64="EV",'EV Charging'!I33," ")</f>
        <v xml:space="preserve"> </v>
      </c>
      <c r="I15" s="438" t="str">
        <f>IF('Battery Design'!J64="EV",'EV Charging'!J33," ")</f>
        <v xml:space="preserve"> </v>
      </c>
      <c r="J15" s="438" t="str">
        <f>IF('Battery Design'!K64="EV",'EV Charging'!K33," ")</f>
        <v xml:space="preserve"> </v>
      </c>
      <c r="K15" s="438" t="str">
        <f>IF('Battery Design'!L64="EV",'EV Charging'!L33," ")</f>
        <v xml:space="preserve"> </v>
      </c>
      <c r="L15" s="438" t="str">
        <f>IF('Battery Design'!M64="EV",'EV Charging'!M33," ")</f>
        <v xml:space="preserve"> </v>
      </c>
    </row>
    <row r="16" spans="2:14" ht="16">
      <c r="B16" s="244" t="s">
        <v>563</v>
      </c>
    </row>
    <row r="17" spans="1:12" ht="16">
      <c r="B17" s="1313" t="s">
        <v>564</v>
      </c>
      <c r="C17" s="1313"/>
      <c r="D17" s="1313"/>
      <c r="E17" s="441" t="s">
        <v>565</v>
      </c>
      <c r="F17" s="442" t="s">
        <v>548</v>
      </c>
      <c r="G17" s="442" t="s">
        <v>548</v>
      </c>
      <c r="H17" s="442" t="s">
        <v>548</v>
      </c>
      <c r="I17" s="442" t="s">
        <v>548</v>
      </c>
      <c r="J17" s="442" t="s">
        <v>548</v>
      </c>
      <c r="K17" s="442" t="s">
        <v>548</v>
      </c>
      <c r="L17" s="442" t="s">
        <v>548</v>
      </c>
    </row>
    <row r="18" spans="1:12">
      <c r="A18" s="757"/>
      <c r="B18" s="459" t="s">
        <v>575</v>
      </c>
      <c r="C18" s="460"/>
      <c r="D18" s="460"/>
      <c r="E18" s="460"/>
      <c r="F18" s="461">
        <f ca="1">'Battery Design'!G$31/1000*F4</f>
        <v>424.55013189393173</v>
      </c>
      <c r="G18" s="461">
        <f ca="1">'Battery Design'!H$31/1000*G4</f>
        <v>424.55013189393173</v>
      </c>
      <c r="H18" s="461">
        <f ca="1">'Battery Design'!I$31/1000*H4</f>
        <v>424.55013189393173</v>
      </c>
      <c r="I18" s="461">
        <f ca="1">'Battery Design'!J$31/1000*I4</f>
        <v>424.55013189393173</v>
      </c>
      <c r="J18" s="461">
        <f ca="1">'Battery Design'!K$31/1000*J4</f>
        <v>424.55013189393173</v>
      </c>
      <c r="K18" s="461">
        <f ca="1">'Battery Design'!L$31/1000*K4</f>
        <v>424.55013189393173</v>
      </c>
      <c r="L18" s="462">
        <f ca="1">'Battery Design'!M$31/1000*L4</f>
        <v>424.55013189393173</v>
      </c>
    </row>
    <row r="19" spans="1:12">
      <c r="B19" s="459" t="s">
        <v>567</v>
      </c>
      <c r="C19" s="460"/>
      <c r="D19" s="460"/>
      <c r="E19" s="460"/>
      <c r="F19" s="461"/>
      <c r="G19" s="461"/>
      <c r="H19" s="461"/>
      <c r="I19" s="461"/>
      <c r="J19" s="461"/>
      <c r="K19" s="461"/>
      <c r="L19" s="462"/>
    </row>
    <row r="20" spans="1:12">
      <c r="B20" s="459" t="s">
        <v>568</v>
      </c>
      <c r="C20" s="460"/>
      <c r="D20" s="460"/>
      <c r="E20" s="460" t="s">
        <v>590</v>
      </c>
      <c r="F20" s="461">
        <f ca="1">'Battery Design'!G$144*'USABC Data'!F5-'USABC Data'!F18-'USABC Data'!F21</f>
        <v>24.956948469823367</v>
      </c>
      <c r="G20" s="461">
        <f ca="1">'Battery Design'!H$144*'USABC Data'!G5-'USABC Data'!G18-'USABC Data'!G21</f>
        <v>24.956948469823367</v>
      </c>
      <c r="H20" s="461">
        <f ca="1">'Battery Design'!I$144*'USABC Data'!H5-'USABC Data'!H18-'USABC Data'!H21</f>
        <v>24.956948469823367</v>
      </c>
      <c r="I20" s="461">
        <f ca="1">'Battery Design'!J$144*'USABC Data'!I5-'USABC Data'!I18-'USABC Data'!I21</f>
        <v>24.956948469823367</v>
      </c>
      <c r="J20" s="461">
        <f ca="1">'Battery Design'!K$144*'USABC Data'!J5-'USABC Data'!J18-'USABC Data'!J21</f>
        <v>24.956948469823367</v>
      </c>
      <c r="K20" s="461">
        <f ca="1">'Battery Design'!L$144*'USABC Data'!K5-'USABC Data'!K18-'USABC Data'!K21</f>
        <v>24.956948469823367</v>
      </c>
      <c r="L20" s="462">
        <f ca="1">'Battery Design'!M$144*'USABC Data'!L5-'USABC Data'!L18-'USABC Data'!L21</f>
        <v>24.956948469823367</v>
      </c>
    </row>
    <row r="21" spans="1:12">
      <c r="B21" s="459" t="s">
        <v>569</v>
      </c>
      <c r="C21" s="460"/>
      <c r="D21" s="460"/>
      <c r="E21" s="460" t="s">
        <v>591</v>
      </c>
      <c r="F21" s="461">
        <f ca="1">('Battery Design'!G$126/1000+'Battery Design'!G$125/1000*'Battery Design'!G$68/'Battery Design'!G$69)*F5</f>
        <v>4.5298849683206956</v>
      </c>
      <c r="G21" s="461">
        <f ca="1">('Battery Design'!H$126/1000+'Battery Design'!H$125/1000*'Battery Design'!H$68/'Battery Design'!H$69)*G5</f>
        <v>4.5298849683206956</v>
      </c>
      <c r="H21" s="461">
        <f ca="1">('Battery Design'!I$126/1000+'Battery Design'!I$125/1000*'Battery Design'!I$68/'Battery Design'!I$69)*H5</f>
        <v>4.5298849683206956</v>
      </c>
      <c r="I21" s="461">
        <f ca="1">('Battery Design'!J$126/1000+'Battery Design'!J$125/1000*'Battery Design'!J$68/'Battery Design'!J$69)*I5</f>
        <v>4.5298849683206956</v>
      </c>
      <c r="J21" s="461">
        <f ca="1">('Battery Design'!K$126/1000+'Battery Design'!K$125/1000*'Battery Design'!K$68/'Battery Design'!K$69)*J5</f>
        <v>4.5298849683206956</v>
      </c>
      <c r="K21" s="461">
        <f ca="1">('Battery Design'!L$126/1000+'Battery Design'!L$125/1000*'Battery Design'!L$68/'Battery Design'!L$69)*K5</f>
        <v>4.5298849683206956</v>
      </c>
      <c r="L21" s="462">
        <f ca="1">('Battery Design'!M$126/1000+'Battery Design'!M$125/1000*'Battery Design'!M$68/'Battery Design'!M$69)*L5</f>
        <v>4.5298849683206956</v>
      </c>
    </row>
    <row r="22" spans="1:12">
      <c r="B22" s="459" t="s">
        <v>570</v>
      </c>
      <c r="C22" s="460"/>
      <c r="D22" s="460"/>
      <c r="E22" s="460"/>
      <c r="F22" s="461"/>
      <c r="G22" s="461"/>
      <c r="H22" s="461"/>
      <c r="I22" s="461"/>
      <c r="J22" s="461"/>
      <c r="K22" s="461"/>
      <c r="L22" s="462"/>
    </row>
    <row r="23" spans="1:12">
      <c r="B23" s="459" t="s">
        <v>572</v>
      </c>
      <c r="C23" s="460"/>
      <c r="D23" s="460"/>
      <c r="E23" s="460" t="s">
        <v>578</v>
      </c>
      <c r="F23" s="461">
        <f ca="1">('Battery Design'!G$178-'Battery Design'!G$173-F25)*F6</f>
        <v>63.848443552234869</v>
      </c>
      <c r="G23" s="461">
        <f ca="1">('Battery Design'!H$178-'Battery Design'!H$173-G25)*G6</f>
        <v>63.848443552234869</v>
      </c>
      <c r="H23" s="461">
        <f ca="1">('Battery Design'!I$178-'Battery Design'!I$173-H25)*H6</f>
        <v>63.848443552234869</v>
      </c>
      <c r="I23" s="461">
        <f ca="1">('Battery Design'!J$178-'Battery Design'!J$173-I25)*I6</f>
        <v>63.848443552234869</v>
      </c>
      <c r="J23" s="461">
        <f ca="1">('Battery Design'!K$178-'Battery Design'!K$173-J25)*J6</f>
        <v>63.848443552234869</v>
      </c>
      <c r="K23" s="461">
        <f ca="1">('Battery Design'!L$178-'Battery Design'!L$173-K25)*K6</f>
        <v>63.848443552234869</v>
      </c>
      <c r="L23" s="462">
        <f ca="1">('Battery Design'!M$178-'Battery Design'!M$173-L25)*L6</f>
        <v>63.848443552234869</v>
      </c>
    </row>
    <row r="24" spans="1:12">
      <c r="B24" s="459" t="s">
        <v>573</v>
      </c>
      <c r="C24" s="460"/>
      <c r="D24" s="460"/>
      <c r="E24" s="460" t="s">
        <v>582</v>
      </c>
      <c r="F24" s="461">
        <f ca="1">('Battery Design'!G$173+'Battery Design'!G$174)*F6</f>
        <v>20.073534422481725</v>
      </c>
      <c r="G24" s="461">
        <f ca="1">('Battery Design'!H$173+'Battery Design'!H$174)*G6</f>
        <v>20.073534422481725</v>
      </c>
      <c r="H24" s="461">
        <f ca="1">('Battery Design'!I$173+'Battery Design'!I$174)*H6</f>
        <v>20.073534422481725</v>
      </c>
      <c r="I24" s="461">
        <f ca="1">('Battery Design'!J$173+'Battery Design'!J$174)*I6</f>
        <v>20.073534422481725</v>
      </c>
      <c r="J24" s="461">
        <f ca="1">('Battery Design'!K$173+'Battery Design'!K$174)*J6</f>
        <v>20.073534422481725</v>
      </c>
      <c r="K24" s="461">
        <f ca="1">('Battery Design'!L$173+'Battery Design'!L$174)*K6</f>
        <v>20.073534422481725</v>
      </c>
      <c r="L24" s="462">
        <f ca="1">('Battery Design'!M$173+'Battery Design'!M$174)*L6</f>
        <v>20.073534422481725</v>
      </c>
    </row>
    <row r="25" spans="1:12">
      <c r="B25" s="459" t="s">
        <v>574</v>
      </c>
      <c r="C25" s="460"/>
      <c r="D25" s="460"/>
      <c r="E25" s="460" t="s">
        <v>592</v>
      </c>
      <c r="F25" s="461">
        <f ca="1">('Battery Design'!G$168+'Battery Design'!G$166*('Battery Design'!G$72+1))/1000*F6</f>
        <v>3.5590829750534461</v>
      </c>
      <c r="G25" s="461">
        <f ca="1">('Battery Design'!H$168+'Battery Design'!H$166*('Battery Design'!H$72+1))/1000*G6</f>
        <v>3.5590829750534461</v>
      </c>
      <c r="H25" s="461">
        <f ca="1">('Battery Design'!I$168+'Battery Design'!I$166*('Battery Design'!I$72+1))/1000*H6</f>
        <v>3.5590829750534461</v>
      </c>
      <c r="I25" s="461">
        <f ca="1">('Battery Design'!J$168+'Battery Design'!J$166*('Battery Design'!J$72+1))/1000*I6</f>
        <v>3.5590829750534461</v>
      </c>
      <c r="J25" s="461">
        <f ca="1">('Battery Design'!K$168+'Battery Design'!K$166*('Battery Design'!K$72+1))/1000*J6</f>
        <v>3.5590829750534461</v>
      </c>
      <c r="K25" s="461">
        <f ca="1">('Battery Design'!L$168+'Battery Design'!L$166*('Battery Design'!L$72+1))/1000*K6</f>
        <v>3.5590829750534461</v>
      </c>
      <c r="L25" s="462">
        <f ca="1">('Battery Design'!M$168+'Battery Design'!M$166*('Battery Design'!M$72+1))/1000*L6</f>
        <v>3.5590829750534461</v>
      </c>
    </row>
    <row r="26" spans="1:12">
      <c r="B26" s="459" t="s">
        <v>586</v>
      </c>
      <c r="C26" s="460"/>
      <c r="D26" s="460"/>
      <c r="E26" s="460" t="s">
        <v>585</v>
      </c>
      <c r="F26" s="461">
        <f>'Battery Design'!G$179*'USABC Data'!F6</f>
        <v>3.2732000000000001</v>
      </c>
      <c r="G26" s="461">
        <f>'Battery Design'!H$179*'USABC Data'!G6</f>
        <v>3.2732000000000001</v>
      </c>
      <c r="H26" s="461">
        <f>'Battery Design'!I$179*'USABC Data'!H6</f>
        <v>3.2732000000000001</v>
      </c>
      <c r="I26" s="461">
        <f>'Battery Design'!J$179*'USABC Data'!I6</f>
        <v>3.2732000000000001</v>
      </c>
      <c r="J26" s="461">
        <f>'Battery Design'!K$179*'USABC Data'!J6</f>
        <v>3.2732000000000001</v>
      </c>
      <c r="K26" s="461">
        <f>'Battery Design'!L$179*'USABC Data'!K6</f>
        <v>3.2732000000000001</v>
      </c>
      <c r="L26" s="462">
        <f>'Battery Design'!M$179*'USABC Data'!L6</f>
        <v>3.2732000000000001</v>
      </c>
    </row>
    <row r="27" spans="1:12">
      <c r="B27" s="459" t="s">
        <v>577</v>
      </c>
      <c r="C27" s="460"/>
      <c r="D27" s="460"/>
      <c r="E27" s="460"/>
      <c r="F27" s="461">
        <f ca="1">SUM(F18:F26)</f>
        <v>544.79122628184587</v>
      </c>
      <c r="G27" s="461">
        <f t="shared" ref="G27:K27" ca="1" si="0">SUM(G18:G26)</f>
        <v>544.79122628184587</v>
      </c>
      <c r="H27" s="461">
        <f t="shared" ca="1" si="0"/>
        <v>544.79122628184587</v>
      </c>
      <c r="I27" s="461">
        <f t="shared" ca="1" si="0"/>
        <v>544.79122628184587</v>
      </c>
      <c r="J27" s="461">
        <f t="shared" ca="1" si="0"/>
        <v>544.79122628184587</v>
      </c>
      <c r="K27" s="461">
        <f t="shared" ca="1" si="0"/>
        <v>544.79122628184587</v>
      </c>
      <c r="L27" s="462">
        <f ca="1">SUM(L18:L26)</f>
        <v>544.79122628184587</v>
      </c>
    </row>
    <row r="28" spans="1:12">
      <c r="B28" s="459" t="s">
        <v>576</v>
      </c>
      <c r="C28" s="460"/>
      <c r="D28" s="460"/>
      <c r="E28" s="460" t="s">
        <v>587</v>
      </c>
      <c r="F28" s="461">
        <f>'Battery Design'!G$187</f>
        <v>7</v>
      </c>
      <c r="G28" s="461">
        <f>'Battery Design'!H$187</f>
        <v>7</v>
      </c>
      <c r="H28" s="461">
        <f>'Battery Design'!I$187</f>
        <v>7</v>
      </c>
      <c r="I28" s="461">
        <f>'Battery Design'!J$187</f>
        <v>7</v>
      </c>
      <c r="J28" s="461">
        <f>'Battery Design'!K$187</f>
        <v>7</v>
      </c>
      <c r="K28" s="461">
        <f>'Battery Design'!L$187</f>
        <v>7</v>
      </c>
      <c r="L28" s="462">
        <f>'Battery Design'!M$187</f>
        <v>7</v>
      </c>
    </row>
    <row r="29" spans="1:12">
      <c r="B29" s="459" t="s">
        <v>594</v>
      </c>
      <c r="C29" s="460"/>
      <c r="D29" s="460"/>
      <c r="E29" s="460"/>
      <c r="F29" s="461">
        <f t="shared" ref="F29:L29" ca="1" si="1">F27+F28</f>
        <v>551.79122628184587</v>
      </c>
      <c r="G29" s="461">
        <f t="shared" ca="1" si="1"/>
        <v>551.79122628184587</v>
      </c>
      <c r="H29" s="461">
        <f t="shared" ca="1" si="1"/>
        <v>551.79122628184587</v>
      </c>
      <c r="I29" s="461">
        <f t="shared" ca="1" si="1"/>
        <v>551.79122628184587</v>
      </c>
      <c r="J29" s="461">
        <f t="shared" ca="1" si="1"/>
        <v>551.79122628184587</v>
      </c>
      <c r="K29" s="461">
        <f t="shared" ca="1" si="1"/>
        <v>551.79122628184587</v>
      </c>
      <c r="L29" s="462">
        <f t="shared" ca="1" si="1"/>
        <v>551.79122628184587</v>
      </c>
    </row>
    <row r="30" spans="1:12">
      <c r="B30" s="459" t="s">
        <v>588</v>
      </c>
      <c r="C30" s="460"/>
      <c r="D30" s="460"/>
      <c r="E30" s="460"/>
      <c r="F30" s="463">
        <f ca="1">F18/F27</f>
        <v>0.77928959097129835</v>
      </c>
      <c r="G30" s="463">
        <f ca="1">G18/G27</f>
        <v>0.77928959097129835</v>
      </c>
      <c r="H30" s="463">
        <f t="shared" ref="H30:L30" ca="1" si="2">H18/H27</f>
        <v>0.77928959097129835</v>
      </c>
      <c r="I30" s="463">
        <f t="shared" ca="1" si="2"/>
        <v>0.77928959097129835</v>
      </c>
      <c r="J30" s="463">
        <f t="shared" ca="1" si="2"/>
        <v>0.77928959097129835</v>
      </c>
      <c r="K30" s="463">
        <f t="shared" ca="1" si="2"/>
        <v>0.77928959097129835</v>
      </c>
      <c r="L30" s="464">
        <f t="shared" ca="1" si="2"/>
        <v>0.77928959097129835</v>
      </c>
    </row>
    <row r="32" spans="1:12" ht="16">
      <c r="B32" s="457" t="s">
        <v>564</v>
      </c>
      <c r="C32" s="457"/>
      <c r="D32" s="457"/>
      <c r="E32" s="457" t="s">
        <v>565</v>
      </c>
      <c r="F32" s="439" t="s">
        <v>312</v>
      </c>
      <c r="G32" s="439" t="s">
        <v>312</v>
      </c>
      <c r="H32" s="439" t="s">
        <v>312</v>
      </c>
      <c r="I32" s="439" t="s">
        <v>312</v>
      </c>
      <c r="J32" s="439" t="s">
        <v>312</v>
      </c>
      <c r="K32" s="439" t="s">
        <v>312</v>
      </c>
      <c r="L32" s="439" t="s">
        <v>312</v>
      </c>
    </row>
    <row r="33" spans="1:12">
      <c r="A33" s="757"/>
      <c r="B33" s="447" t="s">
        <v>575</v>
      </c>
      <c r="C33" s="448"/>
      <c r="D33" s="448"/>
      <c r="E33" s="448"/>
      <c r="F33" s="449">
        <f ca="1">'Battery Design'!G$122/1000*F4</f>
        <v>166.36673203881472</v>
      </c>
      <c r="G33" s="449">
        <f ca="1">'Battery Design'!H$122/1000*G4</f>
        <v>166.36673203881472</v>
      </c>
      <c r="H33" s="449">
        <f ca="1">'Battery Design'!I$122/1000*H4</f>
        <v>166.36673203881472</v>
      </c>
      <c r="I33" s="449">
        <f ca="1">'Battery Design'!J$122/1000*I4</f>
        <v>166.36673203881472</v>
      </c>
      <c r="J33" s="449">
        <f ca="1">'Battery Design'!K$122/1000*J4</f>
        <v>166.36673203881472</v>
      </c>
      <c r="K33" s="449">
        <f ca="1">'Battery Design'!L$122/1000*K4</f>
        <v>166.36673203881472</v>
      </c>
      <c r="L33" s="450">
        <f ca="1">'Battery Design'!M$122/1000*L4</f>
        <v>166.36673203881472</v>
      </c>
    </row>
    <row r="34" spans="1:12">
      <c r="B34" s="447" t="s">
        <v>567</v>
      </c>
      <c r="C34" s="448"/>
      <c r="D34" s="448"/>
      <c r="E34" s="448"/>
      <c r="F34" s="449"/>
      <c r="G34" s="449"/>
      <c r="H34" s="449"/>
      <c r="I34" s="449"/>
      <c r="J34" s="449"/>
      <c r="K34" s="449"/>
      <c r="L34" s="450"/>
    </row>
    <row r="35" spans="1:12">
      <c r="B35" s="447" t="s">
        <v>568</v>
      </c>
      <c r="C35" s="448"/>
      <c r="D35" s="448"/>
      <c r="E35" s="448" t="s">
        <v>590</v>
      </c>
      <c r="F35" s="449">
        <f ca="1">'Battery Design'!G$143*'USABC Data'!F5-'USABC Data'!F33-'Battery Design'!G$122/1000</f>
        <v>21.439418213770619</v>
      </c>
      <c r="G35" s="449">
        <f ca="1">'Battery Design'!H$143*'USABC Data'!G5-'USABC Data'!G33-'Battery Design'!H$122/1000</f>
        <v>21.439418213770619</v>
      </c>
      <c r="H35" s="449">
        <f ca="1">'Battery Design'!I$143*'USABC Data'!H5-'USABC Data'!H33-'Battery Design'!I$122/1000</f>
        <v>21.439418213770619</v>
      </c>
      <c r="I35" s="449">
        <f ca="1">'Battery Design'!J$143*'USABC Data'!I5-'USABC Data'!I33-'Battery Design'!J$122/1000</f>
        <v>21.439418213770619</v>
      </c>
      <c r="J35" s="449">
        <f ca="1">'Battery Design'!K$143*'USABC Data'!J5-'USABC Data'!J33-'Battery Design'!K$122/1000</f>
        <v>21.439418213770619</v>
      </c>
      <c r="K35" s="449">
        <f ca="1">'Battery Design'!L$143*'USABC Data'!K5-'USABC Data'!K33-'Battery Design'!L$122/1000</f>
        <v>21.439418213770619</v>
      </c>
      <c r="L35" s="450">
        <f ca="1">'Battery Design'!M$143*'USABC Data'!L5-'USABC Data'!L33-'Battery Design'!M$122/1000</f>
        <v>21.439418213770619</v>
      </c>
    </row>
    <row r="36" spans="1:12">
      <c r="B36" s="447" t="s">
        <v>569</v>
      </c>
      <c r="C36" s="448"/>
      <c r="D36" s="448"/>
      <c r="E36" s="448" t="s">
        <v>591</v>
      </c>
      <c r="F36" s="449"/>
      <c r="G36" s="449"/>
      <c r="H36" s="449"/>
      <c r="I36" s="449"/>
      <c r="J36" s="449"/>
      <c r="K36" s="449"/>
      <c r="L36" s="450"/>
    </row>
    <row r="37" spans="1:12">
      <c r="B37" s="447" t="s">
        <v>570</v>
      </c>
      <c r="C37" s="448"/>
      <c r="D37" s="448"/>
      <c r="E37" s="448"/>
      <c r="F37" s="449"/>
      <c r="G37" s="449"/>
      <c r="H37" s="449"/>
      <c r="I37" s="449"/>
      <c r="J37" s="449"/>
      <c r="K37" s="449"/>
      <c r="L37" s="450"/>
    </row>
    <row r="38" spans="1:12">
      <c r="B38" s="447" t="s">
        <v>572</v>
      </c>
      <c r="C38" s="448"/>
      <c r="D38" s="448"/>
      <c r="E38" s="448" t="s">
        <v>578</v>
      </c>
      <c r="F38" s="449"/>
      <c r="G38" s="449"/>
      <c r="H38" s="449"/>
      <c r="I38" s="449"/>
      <c r="J38" s="449"/>
      <c r="K38" s="449"/>
      <c r="L38" s="450"/>
    </row>
    <row r="39" spans="1:12">
      <c r="A39" s="256"/>
      <c r="B39" s="447" t="s">
        <v>573</v>
      </c>
      <c r="C39" s="448"/>
      <c r="D39" s="448"/>
      <c r="E39" s="448" t="s">
        <v>582</v>
      </c>
      <c r="F39" s="449"/>
      <c r="G39" s="449"/>
      <c r="H39" s="449"/>
      <c r="I39" s="449"/>
      <c r="J39" s="449"/>
      <c r="K39" s="449"/>
      <c r="L39" s="450"/>
    </row>
    <row r="40" spans="1:12">
      <c r="B40" s="447" t="s">
        <v>574</v>
      </c>
      <c r="C40" s="448"/>
      <c r="D40" s="448"/>
      <c r="E40" s="448" t="s">
        <v>592</v>
      </c>
      <c r="F40" s="449"/>
      <c r="G40" s="449"/>
      <c r="H40" s="449"/>
      <c r="I40" s="449"/>
      <c r="J40" s="449"/>
      <c r="K40" s="449"/>
      <c r="L40" s="450"/>
    </row>
    <row r="41" spans="1:12">
      <c r="B41" s="447" t="s">
        <v>586</v>
      </c>
      <c r="C41" s="448"/>
      <c r="D41" s="448"/>
      <c r="E41" s="448" t="s">
        <v>585</v>
      </c>
      <c r="F41" s="449"/>
      <c r="G41" s="449"/>
      <c r="H41" s="449"/>
      <c r="I41" s="449"/>
      <c r="J41" s="449"/>
      <c r="K41" s="449"/>
      <c r="L41" s="450"/>
    </row>
    <row r="42" spans="1:12">
      <c r="A42" s="256"/>
      <c r="B42" s="447" t="s">
        <v>577</v>
      </c>
      <c r="C42" s="448"/>
      <c r="D42" s="448"/>
      <c r="E42" s="448"/>
      <c r="F42" s="449">
        <f ca="1">'Battery Design'!G$181*F6</f>
        <v>290.66291258075501</v>
      </c>
      <c r="G42" s="449">
        <f ca="1">'Battery Design'!H$181*G6</f>
        <v>290.66291258075501</v>
      </c>
      <c r="H42" s="449">
        <f ca="1">'Battery Design'!I$181*H6</f>
        <v>290.66291258075501</v>
      </c>
      <c r="I42" s="449">
        <f ca="1">'Battery Design'!J$181*I6</f>
        <v>290.66291258075501</v>
      </c>
      <c r="J42" s="449">
        <f ca="1">'Battery Design'!K$181*J6</f>
        <v>290.66291258075501</v>
      </c>
      <c r="K42" s="449">
        <f ca="1">'Battery Design'!L$181*K6</f>
        <v>290.66291258075501</v>
      </c>
      <c r="L42" s="449">
        <f ca="1">'Battery Design'!M$181*L6</f>
        <v>290.66291258075501</v>
      </c>
    </row>
    <row r="43" spans="1:12">
      <c r="B43" s="447" t="s">
        <v>576</v>
      </c>
      <c r="C43" s="448"/>
      <c r="D43" s="448"/>
      <c r="E43" s="448" t="s">
        <v>587</v>
      </c>
      <c r="F43" s="449">
        <f>'Battery Design'!G$188</f>
        <v>2.8</v>
      </c>
      <c r="G43" s="449">
        <f>'Battery Design'!H$188</f>
        <v>2.8</v>
      </c>
      <c r="H43" s="449">
        <f>'Battery Design'!I$188</f>
        <v>2.8</v>
      </c>
      <c r="I43" s="449">
        <f>'Battery Design'!J$188</f>
        <v>2.8</v>
      </c>
      <c r="J43" s="449">
        <f>'Battery Design'!K$188</f>
        <v>2.8</v>
      </c>
      <c r="K43" s="449">
        <f>'Battery Design'!L$188</f>
        <v>2.8</v>
      </c>
      <c r="L43" s="450">
        <f>'Battery Design'!M$188</f>
        <v>2.8</v>
      </c>
    </row>
    <row r="44" spans="1:12">
      <c r="B44" s="447" t="s">
        <v>594</v>
      </c>
      <c r="C44" s="448"/>
      <c r="D44" s="448"/>
      <c r="E44" s="448"/>
      <c r="F44" s="449">
        <f t="shared" ref="F44:L44" ca="1" si="3">F42+F43</f>
        <v>293.46291258075502</v>
      </c>
      <c r="G44" s="449">
        <f t="shared" ca="1" si="3"/>
        <v>293.46291258075502</v>
      </c>
      <c r="H44" s="449">
        <f t="shared" ca="1" si="3"/>
        <v>293.46291258075502</v>
      </c>
      <c r="I44" s="449">
        <f t="shared" ca="1" si="3"/>
        <v>293.46291258075502</v>
      </c>
      <c r="J44" s="449">
        <f t="shared" ca="1" si="3"/>
        <v>293.46291258075502</v>
      </c>
      <c r="K44" s="449">
        <f t="shared" ca="1" si="3"/>
        <v>293.46291258075502</v>
      </c>
      <c r="L44" s="450">
        <f t="shared" ca="1" si="3"/>
        <v>293.46291258075502</v>
      </c>
    </row>
    <row r="45" spans="1:12">
      <c r="B45" s="447" t="s">
        <v>588</v>
      </c>
      <c r="C45" s="448"/>
      <c r="D45" s="448"/>
      <c r="E45" s="448"/>
      <c r="F45" s="451">
        <f ca="1">F33/F42</f>
        <v>0.5723700026318046</v>
      </c>
      <c r="G45" s="451">
        <f t="shared" ref="G45:L45" ca="1" si="4">G33/G42</f>
        <v>0.5723700026318046</v>
      </c>
      <c r="H45" s="451">
        <f t="shared" ca="1" si="4"/>
        <v>0.5723700026318046</v>
      </c>
      <c r="I45" s="451">
        <f t="shared" ca="1" si="4"/>
        <v>0.5723700026318046</v>
      </c>
      <c r="J45" s="451">
        <f t="shared" ca="1" si="4"/>
        <v>0.5723700026318046</v>
      </c>
      <c r="K45" s="451">
        <f t="shared" ca="1" si="4"/>
        <v>0.5723700026318046</v>
      </c>
      <c r="L45" s="452">
        <f t="shared" ca="1" si="4"/>
        <v>0.5723700026318046</v>
      </c>
    </row>
    <row r="47" spans="1:12" ht="16">
      <c r="B47" s="458" t="s">
        <v>564</v>
      </c>
      <c r="C47" s="458"/>
      <c r="D47" s="458"/>
      <c r="E47" s="458" t="s">
        <v>565</v>
      </c>
      <c r="F47" s="440" t="s">
        <v>566</v>
      </c>
      <c r="G47" s="440" t="s">
        <v>566</v>
      </c>
      <c r="H47" s="440" t="s">
        <v>566</v>
      </c>
      <c r="I47" s="440" t="s">
        <v>566</v>
      </c>
      <c r="J47" s="440" t="s">
        <v>566</v>
      </c>
      <c r="K47" s="440" t="s">
        <v>566</v>
      </c>
      <c r="L47" s="440" t="s">
        <v>566</v>
      </c>
    </row>
    <row r="48" spans="1:12" ht="15">
      <c r="A48" s="757"/>
      <c r="B48" s="443" t="s">
        <v>575</v>
      </c>
      <c r="C48" s="444"/>
      <c r="D48" s="444"/>
      <c r="E48" s="444"/>
      <c r="F48" s="445">
        <f ca="1">'Prices of Cells and Modules'!G$117*F6</f>
        <v>22886.932730232784</v>
      </c>
      <c r="G48" s="445">
        <f ca="1">'Prices of Cells and Modules'!H$117*G6</f>
        <v>15691.568700273303</v>
      </c>
      <c r="H48" s="445">
        <f ca="1">'Prices of Cells and Modules'!I$117*H6</f>
        <v>15185.139001554067</v>
      </c>
      <c r="I48" s="445">
        <f ca="1">'Prices of Cells and Modules'!J$117*I6</f>
        <v>14864.416415570327</v>
      </c>
      <c r="J48" s="445">
        <f ca="1">'Prices of Cells and Modules'!K$117*J6</f>
        <v>14635.198714208376</v>
      </c>
      <c r="K48" s="445">
        <f ca="1">'Prices of Cells and Modules'!L$117*K6</f>
        <v>14257.573197838316</v>
      </c>
      <c r="L48" s="446">
        <f ca="1">'Prices of Cells and Modules'!M$117*L6</f>
        <v>14016.732228862729</v>
      </c>
    </row>
    <row r="49" spans="1:12" ht="15">
      <c r="B49" s="443" t="s">
        <v>567</v>
      </c>
      <c r="C49" s="444"/>
      <c r="D49" s="444"/>
      <c r="E49" s="444"/>
      <c r="F49" s="445"/>
      <c r="G49" s="445"/>
      <c r="H49" s="445"/>
      <c r="I49" s="445"/>
      <c r="J49" s="445"/>
      <c r="K49" s="445"/>
      <c r="L49" s="446"/>
    </row>
    <row r="50" spans="1:12" ht="15">
      <c r="B50" s="443" t="s">
        <v>568</v>
      </c>
      <c r="C50" s="444"/>
      <c r="D50" s="444"/>
      <c r="E50" s="444" t="s">
        <v>590</v>
      </c>
      <c r="F50" s="445">
        <f ca="1">'Prices of Cells and Modules'!G$61*F6-'USABC Data'!F48-'USABC Data'!F51</f>
        <v>1679.5542612708664</v>
      </c>
      <c r="G50" s="445">
        <f ca="1">'Prices of Cells and Modules'!H$61*G6-'USABC Data'!G48-'USABC Data'!G51</f>
        <v>710.78702585986991</v>
      </c>
      <c r="H50" s="445">
        <f ca="1">'Prices of Cells and Modules'!I$61*H6-'USABC Data'!H48-'USABC Data'!H51</f>
        <v>649.68261026199195</v>
      </c>
      <c r="I50" s="445">
        <f ca="1">'Prices of Cells and Modules'!J$61*I6-'USABC Data'!I48-'USABC Data'!I51</f>
        <v>611.89090925732796</v>
      </c>
      <c r="J50" s="445">
        <f ca="1">'Prices of Cells and Modules'!K$61*J6-'USABC Data'!J48-'USABC Data'!J51</f>
        <v>585.3638431004141</v>
      </c>
      <c r="K50" s="445">
        <f ca="1">'Prices of Cells and Modules'!L$61*K6-'USABC Data'!K48-'USABC Data'!K51</f>
        <v>542.63644053079349</v>
      </c>
      <c r="L50" s="446">
        <f ca="1">'Prices of Cells and Modules'!M$61*L6-'USABC Data'!L48-'USABC Data'!L51</f>
        <v>516.08646297131725</v>
      </c>
    </row>
    <row r="51" spans="1:12" ht="15">
      <c r="B51" s="443" t="s">
        <v>569</v>
      </c>
      <c r="C51" s="444"/>
      <c r="D51" s="444"/>
      <c r="E51" s="444" t="s">
        <v>591</v>
      </c>
      <c r="F51" s="445">
        <f ca="1">'Manufacturing Cost Calculations'!G$93*F5</f>
        <v>559.40234438966638</v>
      </c>
      <c r="G51" s="445">
        <f ca="1">'Manufacturing Cost Calculations'!H$93*G5</f>
        <v>559.40234438966638</v>
      </c>
      <c r="H51" s="445">
        <f ca="1">'Manufacturing Cost Calculations'!I$93*H5</f>
        <v>559.40234438966638</v>
      </c>
      <c r="I51" s="445">
        <f ca="1">'Manufacturing Cost Calculations'!J$93*I5</f>
        <v>559.40234438966638</v>
      </c>
      <c r="J51" s="445">
        <f ca="1">'Manufacturing Cost Calculations'!K$93*J5</f>
        <v>559.40234438966638</v>
      </c>
      <c r="K51" s="445">
        <f ca="1">'Manufacturing Cost Calculations'!L$93*K5</f>
        <v>559.40234438966638</v>
      </c>
      <c r="L51" s="446">
        <f ca="1">'Manufacturing Cost Calculations'!M$93*L5</f>
        <v>559.40234438966638</v>
      </c>
    </row>
    <row r="52" spans="1:12" ht="15">
      <c r="B52" s="443" t="s">
        <v>570</v>
      </c>
      <c r="C52" s="444"/>
      <c r="D52" s="444"/>
      <c r="E52" s="444"/>
      <c r="F52" s="445"/>
      <c r="G52" s="445"/>
      <c r="H52" s="445"/>
      <c r="I52" s="445"/>
      <c r="J52" s="445"/>
      <c r="K52" s="445"/>
      <c r="L52" s="446"/>
    </row>
    <row r="53" spans="1:12" ht="15">
      <c r="B53" s="443" t="s">
        <v>572</v>
      </c>
      <c r="C53" s="444"/>
      <c r="D53" s="444"/>
      <c r="E53" s="444" t="s">
        <v>578</v>
      </c>
      <c r="F53" s="445">
        <f t="shared" ref="F53:L53" ca="1" si="5">F57-F48-F50-F51-F54-F55-F56</f>
        <v>971.84324591232428</v>
      </c>
      <c r="G53" s="445">
        <f t="shared" ca="1" si="5"/>
        <v>766.99640927403402</v>
      </c>
      <c r="H53" s="445">
        <f t="shared" ca="1" si="5"/>
        <v>754.07025764628747</v>
      </c>
      <c r="I53" s="445">
        <f t="shared" ca="1" si="5"/>
        <v>746.0923461467346</v>
      </c>
      <c r="J53" s="445">
        <f t="shared" ca="1" si="5"/>
        <v>740.50338381743836</v>
      </c>
      <c r="K53" s="445">
        <f t="shared" ca="1" si="5"/>
        <v>731.52735298023231</v>
      </c>
      <c r="L53" s="446">
        <f t="shared" ca="1" si="5"/>
        <v>725.97153300944615</v>
      </c>
    </row>
    <row r="54" spans="1:12" ht="15">
      <c r="A54" s="256"/>
      <c r="B54" s="443" t="s">
        <v>573</v>
      </c>
      <c r="C54" s="444"/>
      <c r="D54" s="444"/>
      <c r="E54" s="444" t="s">
        <v>582</v>
      </c>
      <c r="F54" s="445">
        <f ca="1">'Manufacturing Cost Calculations'!G$105+'Manufacturing Cost Calculations'!G$106</f>
        <v>180</v>
      </c>
      <c r="G54" s="445">
        <f ca="1">'Manufacturing Cost Calculations'!H$105+'Manufacturing Cost Calculations'!H$106</f>
        <v>180</v>
      </c>
      <c r="H54" s="445">
        <f ca="1">'Manufacturing Cost Calculations'!I$105+'Manufacturing Cost Calculations'!I$106</f>
        <v>180</v>
      </c>
      <c r="I54" s="445">
        <f ca="1">'Manufacturing Cost Calculations'!J$105+'Manufacturing Cost Calculations'!J$106</f>
        <v>180</v>
      </c>
      <c r="J54" s="445">
        <f ca="1">'Manufacturing Cost Calculations'!K$105+'Manufacturing Cost Calculations'!K$106</f>
        <v>180</v>
      </c>
      <c r="K54" s="445">
        <f ca="1">'Manufacturing Cost Calculations'!L$105+'Manufacturing Cost Calculations'!L$106</f>
        <v>180</v>
      </c>
      <c r="L54" s="446">
        <f ca="1">'Manufacturing Cost Calculations'!M$105+'Manufacturing Cost Calculations'!M$106</f>
        <v>180</v>
      </c>
    </row>
    <row r="55" spans="1:12" ht="15">
      <c r="B55" s="443" t="s">
        <v>574</v>
      </c>
      <c r="C55" s="444"/>
      <c r="D55" s="444"/>
      <c r="E55" s="444" t="s">
        <v>592</v>
      </c>
      <c r="F55" s="453">
        <f ca="1">'Manufacturing Cost Calculations'!G$101+'Manufacturing Cost Calculations'!G$102+'Manufacturing Cost Calculations'!G$103+'Manufacturing Cost Calculations'!G$104</f>
        <v>37</v>
      </c>
      <c r="G55" s="453">
        <f ca="1">'Manufacturing Cost Calculations'!H$101+'Manufacturing Cost Calculations'!H$102+'Manufacturing Cost Calculations'!H$103+'Manufacturing Cost Calculations'!H$104</f>
        <v>37</v>
      </c>
      <c r="H55" s="453">
        <f ca="1">'Manufacturing Cost Calculations'!I$101+'Manufacturing Cost Calculations'!I$102+'Manufacturing Cost Calculations'!I$103+'Manufacturing Cost Calculations'!I$104</f>
        <v>37</v>
      </c>
      <c r="I55" s="453">
        <f ca="1">'Manufacturing Cost Calculations'!J$101+'Manufacturing Cost Calculations'!J$102+'Manufacturing Cost Calculations'!J$103+'Manufacturing Cost Calculations'!J$104</f>
        <v>37</v>
      </c>
      <c r="J55" s="453">
        <f ca="1">'Manufacturing Cost Calculations'!K$101+'Manufacturing Cost Calculations'!K$102+'Manufacturing Cost Calculations'!K$103+'Manufacturing Cost Calculations'!K$104</f>
        <v>37</v>
      </c>
      <c r="K55" s="453">
        <f ca="1">'Manufacturing Cost Calculations'!L$101+'Manufacturing Cost Calculations'!L$102+'Manufacturing Cost Calculations'!L$103+'Manufacturing Cost Calculations'!L$104</f>
        <v>37</v>
      </c>
      <c r="L55" s="454">
        <f ca="1">'Manufacturing Cost Calculations'!M$101+'Manufacturing Cost Calculations'!M$102+'Manufacturing Cost Calculations'!M$103+'Manufacturing Cost Calculations'!M$104</f>
        <v>37</v>
      </c>
    </row>
    <row r="56" spans="1:12" ht="15">
      <c r="B56" s="443" t="s">
        <v>586</v>
      </c>
      <c r="C56" s="444"/>
      <c r="D56" s="444"/>
      <c r="E56" s="444" t="s">
        <v>585</v>
      </c>
      <c r="F56" s="445">
        <f>'Manufacturing Cost Calculations'!G$116</f>
        <v>589.46061382423511</v>
      </c>
      <c r="G56" s="445">
        <f>'Manufacturing Cost Calculations'!H$116</f>
        <v>436.86956729686773</v>
      </c>
      <c r="H56" s="445">
        <f>'Manufacturing Cost Calculations'!I$116</f>
        <v>419.51033695163892</v>
      </c>
      <c r="I56" s="445">
        <f>'Manufacturing Cost Calculations'!J$116</f>
        <v>407.6137192863871</v>
      </c>
      <c r="J56" s="445">
        <f>'Manufacturing Cost Calculations'!K$116</f>
        <v>398.61881299781658</v>
      </c>
      <c r="K56" s="445">
        <f>'Manufacturing Cost Calculations'!L$116</f>
        <v>382.77949546973497</v>
      </c>
      <c r="L56" s="446">
        <f>'Manufacturing Cost Calculations'!M$116</f>
        <v>371.92450357420404</v>
      </c>
    </row>
    <row r="57" spans="1:12" ht="15">
      <c r="A57" s="256"/>
      <c r="B57" s="443" t="s">
        <v>577</v>
      </c>
      <c r="C57" s="444"/>
      <c r="D57" s="444"/>
      <c r="E57" s="444"/>
      <c r="F57" s="445">
        <f ca="1">'Summary of Results'!G$100</f>
        <v>26904.193195629876</v>
      </c>
      <c r="G57" s="445">
        <f ca="1">'Summary of Results'!H$100</f>
        <v>18382.624047093741</v>
      </c>
      <c r="H57" s="445">
        <f ca="1">'Summary of Results'!I$100</f>
        <v>17784.804550803652</v>
      </c>
      <c r="I57" s="445">
        <f ca="1">'Summary of Results'!J$100</f>
        <v>17406.415734650443</v>
      </c>
      <c r="J57" s="445">
        <f ca="1">'Summary of Results'!K$100</f>
        <v>17136.087098513712</v>
      </c>
      <c r="K57" s="445">
        <f ca="1">'Summary of Results'!L$100</f>
        <v>16690.918831208743</v>
      </c>
      <c r="L57" s="446">
        <f ca="1">'Summary of Results'!M$100</f>
        <v>16407.117072807363</v>
      </c>
    </row>
    <row r="58" spans="1:12" ht="15">
      <c r="B58" s="443" t="s">
        <v>576</v>
      </c>
      <c r="C58" s="444"/>
      <c r="D58" s="444"/>
      <c r="E58" s="444" t="s">
        <v>587</v>
      </c>
      <c r="F58" s="445">
        <f ca="1">'Summary of Results'!G$101</f>
        <v>40</v>
      </c>
      <c r="G58" s="445">
        <f ca="1">'Summary of Results'!H$101</f>
        <v>40</v>
      </c>
      <c r="H58" s="445">
        <f ca="1">'Summary of Results'!I$101</f>
        <v>40</v>
      </c>
      <c r="I58" s="445">
        <f ca="1">'Summary of Results'!J$101</f>
        <v>40</v>
      </c>
      <c r="J58" s="445">
        <f ca="1">'Summary of Results'!K$101</f>
        <v>40</v>
      </c>
      <c r="K58" s="445">
        <f ca="1">'Summary of Results'!L$101</f>
        <v>40</v>
      </c>
      <c r="L58" s="446">
        <f ca="1">'Summary of Results'!M$101</f>
        <v>40</v>
      </c>
    </row>
    <row r="59" spans="1:12" ht="15">
      <c r="B59" s="443" t="s">
        <v>594</v>
      </c>
      <c r="C59" s="444"/>
      <c r="D59" s="444"/>
      <c r="E59" s="444"/>
      <c r="F59" s="445">
        <f ca="1">'Summary of Results'!G$102</f>
        <v>26944.193195629876</v>
      </c>
      <c r="G59" s="445">
        <f ca="1">'Summary of Results'!H$102</f>
        <v>18422.624047093741</v>
      </c>
      <c r="H59" s="445">
        <f ca="1">'Summary of Results'!I$102</f>
        <v>17824.804550803652</v>
      </c>
      <c r="I59" s="445">
        <f ca="1">'Summary of Results'!J$102</f>
        <v>17446.415734650443</v>
      </c>
      <c r="J59" s="445">
        <f ca="1">'Summary of Results'!K$102</f>
        <v>17176.087098513712</v>
      </c>
      <c r="K59" s="445">
        <f ca="1">'Summary of Results'!L$102</f>
        <v>16730.918831208743</v>
      </c>
      <c r="L59" s="446">
        <f ca="1">'Summary of Results'!M$102</f>
        <v>16447.117072807363</v>
      </c>
    </row>
    <row r="60" spans="1:12" ht="15">
      <c r="B60" s="443" t="s">
        <v>588</v>
      </c>
      <c r="C60" s="444"/>
      <c r="D60" s="444"/>
      <c r="E60" s="444"/>
      <c r="F60" s="455">
        <f t="shared" ref="F60:L60" ca="1" si="6">F48/F57</f>
        <v>0.85068273795886851</v>
      </c>
      <c r="G60" s="455">
        <f t="shared" ca="1" si="6"/>
        <v>0.85360874813485133</v>
      </c>
      <c r="H60" s="455">
        <f t="shared" ca="1" si="6"/>
        <v>0.85382658877001194</v>
      </c>
      <c r="I60" s="455">
        <f t="shared" ca="1" si="6"/>
        <v>0.85396193232246931</v>
      </c>
      <c r="J60" s="455">
        <f t="shared" ca="1" si="6"/>
        <v>0.8540572086306536</v>
      </c>
      <c r="K60" s="455">
        <f t="shared" ca="1" si="6"/>
        <v>0.85421140333984802</v>
      </c>
      <c r="L60" s="456">
        <f t="shared" ca="1" si="6"/>
        <v>0.85430805221068473</v>
      </c>
    </row>
  </sheetData>
  <mergeCells count="3">
    <mergeCell ref="B17:D17"/>
    <mergeCell ref="B1:L1"/>
    <mergeCell ref="B2:L2"/>
  </mergeCells>
  <pageMargins left="0.7" right="0.7" top="0.75" bottom="0.75" header="0.3" footer="0.3"/>
  <pageSetup orientation="landscape" r:id="rId1"/>
  <colBreaks count="6" manualBreakCount="6">
    <brk id="6" max="1048575" man="1"/>
    <brk id="7" max="28" man="1"/>
    <brk id="8" max="28" man="1"/>
    <brk id="9" max="28" man="1"/>
    <brk id="10" max="28" man="1"/>
    <brk id="11" max="28"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41"/>
  </sheetPr>
  <dimension ref="A1:Z275"/>
  <sheetViews>
    <sheetView workbookViewId="0">
      <pane ySplit="3" topLeftCell="A24" activePane="bottomLeft" state="frozen"/>
      <selection pane="bottomLeft" activeCell="M72" sqref="M72:M88"/>
    </sheetView>
  </sheetViews>
  <sheetFormatPr baseColWidth="10" defaultColWidth="8.83203125" defaultRowHeight="13"/>
  <cols>
    <col min="1" max="1" width="2.33203125" bestFit="1" customWidth="1"/>
    <col min="2" max="2" width="5" customWidth="1"/>
    <col min="3" max="3" width="8.5" customWidth="1"/>
    <col min="4" max="4" width="23.6640625" customWidth="1"/>
    <col min="5" max="5" width="9.6640625" customWidth="1"/>
    <col min="6" max="6" width="8.83203125" customWidth="1"/>
    <col min="7" max="7" width="11.5" customWidth="1"/>
    <col min="8" max="9" width="10.6640625" customWidth="1"/>
    <col min="10" max="10" width="11.6640625" customWidth="1"/>
    <col min="11" max="11" width="10.6640625" customWidth="1"/>
    <col min="12" max="12" width="10.83203125" customWidth="1"/>
    <col min="13" max="13" width="12" customWidth="1"/>
    <col min="14" max="14" width="11.5" customWidth="1"/>
    <col min="15" max="15" width="12.83203125" customWidth="1"/>
    <col min="16" max="18" width="10.6640625" customWidth="1"/>
    <col min="19" max="19" width="14.6640625" customWidth="1"/>
    <col min="20" max="21" width="11.5" bestFit="1" customWidth="1"/>
    <col min="22" max="23" width="10" customWidth="1"/>
    <col min="25" max="25" width="10.5" customWidth="1"/>
    <col min="26" max="26" width="10.33203125" customWidth="1"/>
  </cols>
  <sheetData>
    <row r="1" spans="2:19" ht="18">
      <c r="B1" s="1277" t="s">
        <v>141</v>
      </c>
      <c r="C1" s="1277"/>
      <c r="D1" s="1277"/>
      <c r="E1" s="1277"/>
      <c r="F1" s="1277"/>
      <c r="G1" s="1277"/>
      <c r="H1" s="1277"/>
      <c r="I1" s="1277"/>
      <c r="J1" s="1277"/>
      <c r="K1" s="1277"/>
      <c r="L1" s="1277"/>
      <c r="M1" s="1277"/>
    </row>
    <row r="2" spans="2:19" ht="16">
      <c r="B2" s="1278" t="str">
        <f>'Battery Design'!B2:M2</f>
        <v>LiFePO4 / Graphite</v>
      </c>
      <c r="C2" s="1316"/>
      <c r="D2" s="1316"/>
      <c r="E2" s="1316"/>
      <c r="F2" s="1316"/>
      <c r="G2" s="1316"/>
      <c r="H2" s="1316"/>
      <c r="I2" s="1316"/>
      <c r="J2" s="1316"/>
      <c r="K2" s="1316"/>
      <c r="L2" s="1316"/>
      <c r="M2" s="1316"/>
    </row>
    <row r="3" spans="2:19">
      <c r="B3" s="38"/>
      <c r="C3" s="38"/>
      <c r="D3" s="38"/>
      <c r="E3" s="38"/>
      <c r="F3" s="38"/>
      <c r="G3" s="39" t="s">
        <v>0</v>
      </c>
      <c r="H3" s="39" t="s">
        <v>1</v>
      </c>
      <c r="I3" s="39" t="s">
        <v>2</v>
      </c>
      <c r="J3" s="39" t="s">
        <v>3</v>
      </c>
      <c r="K3" s="39" t="s">
        <v>4</v>
      </c>
      <c r="L3" s="202" t="s">
        <v>530</v>
      </c>
      <c r="M3" s="203" t="s">
        <v>531</v>
      </c>
    </row>
    <row r="4" spans="2:19" ht="16">
      <c r="B4" s="132" t="s">
        <v>81</v>
      </c>
      <c r="C4" s="55"/>
      <c r="D4" s="55"/>
      <c r="E4" s="41"/>
      <c r="F4" s="41"/>
      <c r="G4" s="288"/>
      <c r="H4" s="288"/>
      <c r="I4" s="288"/>
      <c r="J4" s="288"/>
      <c r="K4" s="389"/>
      <c r="L4" s="288"/>
      <c r="S4" s="34"/>
    </row>
    <row r="5" spans="2:19">
      <c r="B5" s="746" t="str">
        <f>$B$4 &amp; ": " &amp; C5</f>
        <v>Annual Processing Rates: Number of battery packs manufactured per year</v>
      </c>
      <c r="C5" s="17" t="s">
        <v>453</v>
      </c>
      <c r="D5" s="17"/>
      <c r="E5" s="41"/>
      <c r="F5" s="288"/>
      <c r="G5" s="294">
        <f>'Battery Design'!G205*'Battery Design'!G56</f>
        <v>1000</v>
      </c>
      <c r="H5" s="294">
        <f>'Battery Design'!H205*'Battery Design'!H56</f>
        <v>20000</v>
      </c>
      <c r="I5" s="294">
        <f>'Battery Design'!I205*'Battery Design'!I56</f>
        <v>30000</v>
      </c>
      <c r="J5" s="294">
        <f>'Battery Design'!J205*'Battery Design'!J56</f>
        <v>40000</v>
      </c>
      <c r="K5" s="294">
        <f>'Battery Design'!K205*'Battery Design'!K56</f>
        <v>50000</v>
      </c>
      <c r="L5" s="294">
        <f>'Battery Design'!L205*'Battery Design'!L56</f>
        <v>75000</v>
      </c>
      <c r="M5" s="294">
        <f>'Battery Design'!M205*'Battery Design'!M56</f>
        <v>100000</v>
      </c>
      <c r="O5" s="34"/>
      <c r="P5" s="34"/>
      <c r="Q5" s="34"/>
      <c r="R5" s="34"/>
      <c r="S5" s="34"/>
    </row>
    <row r="6" spans="2:19">
      <c r="B6" s="746" t="str">
        <f t="shared" ref="B6:B13" si="0">$B$4 &amp; ": " &amp; C6</f>
        <v>Annual Processing Rates: Energy, kWh per year</v>
      </c>
      <c r="C6" s="96" t="s">
        <v>189</v>
      </c>
      <c r="D6" s="96"/>
      <c r="E6" s="41"/>
      <c r="F6" s="41"/>
      <c r="G6" s="294">
        <f ca="1">G5*'Battery Design'!G147</f>
        <v>99999.999999999956</v>
      </c>
      <c r="H6" s="294">
        <f ca="1">H5*'Battery Design'!H147</f>
        <v>1999999.9999999991</v>
      </c>
      <c r="I6" s="294">
        <f ca="1">I5*'Battery Design'!I147</f>
        <v>2999999.9999999986</v>
      </c>
      <c r="J6" s="294">
        <f ca="1">J5*'Battery Design'!J147</f>
        <v>3999999.9999999981</v>
      </c>
      <c r="K6" s="294">
        <f ca="1">K5*'Battery Design'!K147</f>
        <v>4999999.9999999981</v>
      </c>
      <c r="L6" s="294">
        <f ca="1">L5*'Battery Design'!L147</f>
        <v>7499999.9999999972</v>
      </c>
      <c r="M6" s="294">
        <f ca="1">M5*'Battery Design'!M147</f>
        <v>9999999.9999999963</v>
      </c>
      <c r="O6" s="34"/>
      <c r="P6" s="34"/>
      <c r="Q6" s="34"/>
      <c r="R6" s="41"/>
      <c r="S6" s="34"/>
    </row>
    <row r="7" spans="2:19">
      <c r="B7" s="746" t="str">
        <f t="shared" si="0"/>
        <v>Annual Processing Rates: Number of accepted cells per year</v>
      </c>
      <c r="C7" s="17" t="s">
        <v>82</v>
      </c>
      <c r="D7" s="17"/>
      <c r="E7" s="41"/>
      <c r="F7" s="41"/>
      <c r="G7" s="294">
        <f>G5*'Battery Design'!G74</f>
        <v>400000</v>
      </c>
      <c r="H7" s="294">
        <f>H5*'Battery Design'!H74</f>
        <v>8000000</v>
      </c>
      <c r="I7" s="294">
        <f>I5*'Battery Design'!I74</f>
        <v>12000000</v>
      </c>
      <c r="J7" s="294">
        <f>J5*'Battery Design'!J74</f>
        <v>16000000</v>
      </c>
      <c r="K7" s="294">
        <f>K5*'Battery Design'!K74</f>
        <v>20000000</v>
      </c>
      <c r="L7" s="294">
        <f>L5*'Battery Design'!L74</f>
        <v>30000000</v>
      </c>
      <c r="M7" s="294">
        <f>M5*'Battery Design'!M74</f>
        <v>40000000</v>
      </c>
      <c r="O7" s="17"/>
      <c r="P7" s="34"/>
      <c r="Q7" s="34"/>
      <c r="R7" s="41"/>
      <c r="S7" s="34"/>
    </row>
    <row r="8" spans="2:19">
      <c r="B8" s="746" t="str">
        <f t="shared" si="0"/>
        <v>Annual Processing Rates: Number of cells adjusted for yield</v>
      </c>
      <c r="C8" s="96" t="s">
        <v>83</v>
      </c>
      <c r="D8" s="96"/>
      <c r="E8" s="41"/>
      <c r="F8" s="41"/>
      <c r="G8" s="294">
        <f>G7/'Cost Input'!$F5*100</f>
        <v>421052.6315789473</v>
      </c>
      <c r="H8" s="294">
        <f>H7/'Cost Input'!$F5*100</f>
        <v>8421052.6315789483</v>
      </c>
      <c r="I8" s="294">
        <f>I7/'Cost Input'!$F5*100</f>
        <v>12631578.947368421</v>
      </c>
      <c r="J8" s="294">
        <f>J7/'Cost Input'!$F5*100</f>
        <v>16842105.263157897</v>
      </c>
      <c r="K8" s="294">
        <f>K7/'Cost Input'!$F5*100</f>
        <v>21052631.578947369</v>
      </c>
      <c r="L8" s="294">
        <f>L7/'Cost Input'!$F5*100</f>
        <v>31578947.368421052</v>
      </c>
      <c r="M8" s="294">
        <f>M7/'Cost Input'!$F5*100</f>
        <v>42105263.157894738</v>
      </c>
      <c r="P8" s="35"/>
      <c r="Q8" s="35"/>
      <c r="R8" s="41"/>
      <c r="S8" s="34"/>
    </row>
    <row r="9" spans="2:19">
      <c r="B9" s="746" t="str">
        <f t="shared" si="0"/>
        <v>Annual Processing Rates: Electrode area, m² per year</v>
      </c>
      <c r="C9" s="96" t="s">
        <v>1468</v>
      </c>
      <c r="D9" s="96"/>
      <c r="E9" s="41"/>
      <c r="F9" s="41"/>
      <c r="G9" s="294">
        <f ca="1">G8*'Battery Design'!G112/10000</f>
        <v>755209.12692375423</v>
      </c>
      <c r="H9" s="294">
        <f ca="1">H8*'Battery Design'!H112/10000</f>
        <v>15104182.538475089</v>
      </c>
      <c r="I9" s="294">
        <f ca="1">I8*'Battery Design'!I112/10000</f>
        <v>22656273.807712629</v>
      </c>
      <c r="J9" s="294">
        <f ca="1">J8*'Battery Design'!J112/10000</f>
        <v>30208365.076950178</v>
      </c>
      <c r="K9" s="294">
        <f ca="1">K8*'Battery Design'!K112/10000</f>
        <v>37760456.346187718</v>
      </c>
      <c r="L9" s="294">
        <f ca="1">L8*'Battery Design'!L112/10000</f>
        <v>56640684.519281581</v>
      </c>
      <c r="M9" s="294">
        <f ca="1">M8*'Battery Design'!M112/10000</f>
        <v>75520912.692375436</v>
      </c>
      <c r="O9" s="35"/>
      <c r="P9" s="35"/>
      <c r="Q9" s="35"/>
      <c r="R9" s="114"/>
      <c r="S9" s="34"/>
    </row>
    <row r="10" spans="2:19">
      <c r="B10" s="746" t="str">
        <f t="shared" si="0"/>
        <v>Annual Processing Rates: Positive active material, kg per year</v>
      </c>
      <c r="C10" s="96" t="s">
        <v>190</v>
      </c>
      <c r="D10" s="96"/>
      <c r="E10" s="41"/>
      <c r="F10" s="41"/>
      <c r="G10" s="294">
        <f ca="1">'Battery Design'!G9*G7/1000/'Cost Input'!$F5*100/'Cost Input'!$F7*100</f>
        <v>235492.89826819376</v>
      </c>
      <c r="H10" s="294">
        <f ca="1">'Battery Design'!H9*H7/1000/'Cost Input'!$F5*100/'Cost Input'!$F7*100</f>
        <v>4709857.965363875</v>
      </c>
      <c r="I10" s="294">
        <f ca="1">'Battery Design'!I9*I7/1000/'Cost Input'!$F5*100/'Cost Input'!$F7*100</f>
        <v>7064786.9480458135</v>
      </c>
      <c r="J10" s="294">
        <f ca="1">'Battery Design'!J9*J7/1000/'Cost Input'!$F5*100/'Cost Input'!$F7*100</f>
        <v>9419715.9307277501</v>
      </c>
      <c r="K10" s="294">
        <f ca="1">'Battery Design'!K9*K7/1000/'Cost Input'!$F5*100/'Cost Input'!$F7*100</f>
        <v>11774644.913409688</v>
      </c>
      <c r="L10" s="294">
        <f ca="1">'Battery Design'!L9*L7/1000/'Cost Input'!$F5*100/'Cost Input'!$F7*100</f>
        <v>17661967.370114535</v>
      </c>
      <c r="M10" s="294">
        <f ca="1">'Battery Design'!M9*M7/1000/'Cost Input'!$F5*100/'Cost Input'!$F7*100</f>
        <v>23549289.826819375</v>
      </c>
      <c r="O10" s="34"/>
      <c r="P10" s="35"/>
      <c r="Q10" s="35"/>
      <c r="R10" s="41"/>
      <c r="S10" s="34"/>
    </row>
    <row r="11" spans="2:19">
      <c r="B11" s="746" t="str">
        <f t="shared" si="0"/>
        <v>Annual Processing Rates: Negative active material, kg per year</v>
      </c>
      <c r="C11" s="96" t="s">
        <v>191</v>
      </c>
      <c r="D11" s="96"/>
      <c r="E11" s="41"/>
      <c r="F11" s="41"/>
      <c r="G11" s="294">
        <f ca="1">'Battery Design'!G15*G7/1000/'Cost Input'!$F5*100/'Cost Input'!$F8*100</f>
        <v>11542.156237675707</v>
      </c>
      <c r="H11" s="294">
        <f ca="1">'Battery Design'!H15*H7/1000/'Cost Input'!$F5*100/'Cost Input'!$F8*100</f>
        <v>230843.12475351413</v>
      </c>
      <c r="I11" s="294">
        <f ca="1">'Battery Design'!I15*I7/1000/'Cost Input'!$F5*100/'Cost Input'!$F8*100</f>
        <v>346264.68713027117</v>
      </c>
      <c r="J11" s="294">
        <f ca="1">'Battery Design'!J15*J7/1000/'Cost Input'!$F5*100/'Cost Input'!$F8*100</f>
        <v>461686.24950702826</v>
      </c>
      <c r="K11" s="294">
        <f ca="1">'Battery Design'!K15*K7/1000/'Cost Input'!$F5*100/'Cost Input'!$F8*100</f>
        <v>577107.8118837853</v>
      </c>
      <c r="L11" s="294">
        <f ca="1">'Battery Design'!L15*L7/1000/'Cost Input'!$F5*100/'Cost Input'!$F8*100</f>
        <v>865661.71782567794</v>
      </c>
      <c r="M11" s="294">
        <f ca="1">'Battery Design'!M15*M7/1000/'Cost Input'!$F5*100/'Cost Input'!$F8*100</f>
        <v>1154215.6237675706</v>
      </c>
      <c r="O11" s="35"/>
      <c r="P11" s="35"/>
      <c r="Q11" s="35"/>
      <c r="R11" s="143"/>
      <c r="S11" s="34"/>
    </row>
    <row r="12" spans="2:19">
      <c r="B12" s="746" t="str">
        <f t="shared" si="0"/>
        <v>Annual Processing Rates: Binder solvent, kg per year</v>
      </c>
      <c r="C12" s="96" t="s">
        <v>192</v>
      </c>
      <c r="D12" s="96"/>
      <c r="E12" s="41"/>
      <c r="F12" s="41"/>
      <c r="G12" s="294">
        <f t="shared" ref="G12:L12" ca="1" si="1">G50</f>
        <v>117746.4491340969</v>
      </c>
      <c r="H12" s="294">
        <f t="shared" ca="1" si="1"/>
        <v>2354928.9826819375</v>
      </c>
      <c r="I12" s="294">
        <f t="shared" ca="1" si="1"/>
        <v>3532393.4740229063</v>
      </c>
      <c r="J12" s="294">
        <f t="shared" ca="1" si="1"/>
        <v>4709857.965363875</v>
      </c>
      <c r="K12" s="294">
        <f t="shared" ca="1" si="1"/>
        <v>5887322.4567048447</v>
      </c>
      <c r="L12" s="294">
        <f t="shared" ca="1" si="1"/>
        <v>8830983.6850572657</v>
      </c>
      <c r="M12" s="294">
        <f ca="1">M50</f>
        <v>11774644.913409689</v>
      </c>
      <c r="O12" s="35"/>
      <c r="P12" s="35"/>
      <c r="Q12" s="35"/>
      <c r="R12" s="41"/>
      <c r="S12" s="34"/>
    </row>
    <row r="13" spans="2:19" ht="15">
      <c r="B13" s="746" t="str">
        <f t="shared" si="0"/>
        <v>Annual Processing Rates: Dry room operating area, m2</v>
      </c>
      <c r="C13" s="96" t="s">
        <v>242</v>
      </c>
      <c r="D13" s="96"/>
      <c r="E13" s="41"/>
      <c r="F13" s="41"/>
      <c r="G13" s="294">
        <f t="shared" ref="G13:M13" ca="1" si="2">G197+G202+G207+G212+G175/3</f>
        <v>366.31154854209899</v>
      </c>
      <c r="H13" s="294">
        <f t="shared" ca="1" si="2"/>
        <v>2771.8639868412492</v>
      </c>
      <c r="I13" s="294">
        <f t="shared" ca="1" si="2"/>
        <v>3669.5150116945761</v>
      </c>
      <c r="J13" s="294">
        <f t="shared" ca="1" si="2"/>
        <v>4482.1286838385404</v>
      </c>
      <c r="K13" s="294">
        <f t="shared" ca="1" si="2"/>
        <v>5237.4213510273239</v>
      </c>
      <c r="L13" s="294">
        <f ca="1">L197+L202+L207+L212+L175/3</f>
        <v>6959.2816111509119</v>
      </c>
      <c r="M13" s="294">
        <f t="shared" ca="1" si="2"/>
        <v>8522.8331348534866</v>
      </c>
      <c r="O13" s="35"/>
      <c r="P13" s="35"/>
      <c r="Q13" s="35"/>
      <c r="R13" s="41"/>
      <c r="S13" s="34"/>
    </row>
    <row r="14" spans="2:19" ht="16">
      <c r="B14" s="13" t="s">
        <v>84</v>
      </c>
      <c r="C14" s="13"/>
      <c r="D14" s="13"/>
      <c r="E14" s="41"/>
      <c r="F14" s="41"/>
      <c r="G14" s="288"/>
      <c r="H14" s="288"/>
      <c r="I14" s="288"/>
      <c r="J14" s="288"/>
      <c r="K14" s="288"/>
      <c r="L14" s="288"/>
      <c r="M14" s="288"/>
      <c r="O14" s="35"/>
      <c r="P14" s="35"/>
      <c r="Q14" s="35"/>
      <c r="R14" s="41"/>
      <c r="S14" s="34"/>
    </row>
    <row r="15" spans="2:19" ht="14">
      <c r="B15" s="164" t="s">
        <v>199</v>
      </c>
      <c r="C15" s="255"/>
      <c r="D15" s="255"/>
      <c r="E15" s="256"/>
      <c r="F15" s="214" t="s">
        <v>85</v>
      </c>
      <c r="G15" s="256"/>
      <c r="H15" s="256"/>
      <c r="I15" s="256"/>
      <c r="J15" s="256"/>
      <c r="K15" s="256"/>
      <c r="L15" s="256"/>
      <c r="M15" s="256"/>
      <c r="O15" s="35"/>
      <c r="P15" s="35"/>
      <c r="Q15" s="35"/>
      <c r="R15" s="41"/>
      <c r="S15" s="34"/>
    </row>
    <row r="16" spans="2:19">
      <c r="B16" s="255" t="s">
        <v>172</v>
      </c>
      <c r="C16" s="256"/>
      <c r="D16" s="256"/>
      <c r="E16" s="256"/>
      <c r="F16" s="162">
        <f>'Cost Input'!F7</f>
        <v>92.2</v>
      </c>
      <c r="G16" s="256"/>
      <c r="H16" s="256"/>
      <c r="I16" s="256"/>
      <c r="J16" s="256"/>
      <c r="K16" s="256"/>
      <c r="L16" s="256"/>
      <c r="M16" s="256"/>
      <c r="O16" s="35"/>
      <c r="P16" s="35"/>
      <c r="Q16" s="35"/>
      <c r="R16" s="41"/>
      <c r="S16" s="34"/>
    </row>
    <row r="17" spans="2:19">
      <c r="B17" s="746" t="str">
        <f>$B$15 &amp; ": " &amp; C17</f>
        <v>Total Cell Materials per Accepted Cell: Positive electrode active material, g/cell</v>
      </c>
      <c r="C17" s="256" t="s">
        <v>1319</v>
      </c>
      <c r="D17" s="256"/>
      <c r="E17" s="256"/>
      <c r="F17" s="162"/>
      <c r="G17" s="295">
        <f ca="1">'Battery Design'!G9/'Cost Input'!$F$5*100/$F$16*100</f>
        <v>588.73224567048453</v>
      </c>
      <c r="H17" s="295">
        <f ca="1">'Battery Design'!H9/'Cost Input'!$F$5*100/$F$16*100</f>
        <v>588.73224567048453</v>
      </c>
      <c r="I17" s="295">
        <f ca="1">'Battery Design'!I9/'Cost Input'!$F$5*100/$F$16*100</f>
        <v>588.73224567048453</v>
      </c>
      <c r="J17" s="295">
        <f ca="1">'Battery Design'!J9/'Cost Input'!$F$5*100/$F$16*100</f>
        <v>588.73224567048453</v>
      </c>
      <c r="K17" s="295">
        <f ca="1">'Battery Design'!K9/'Cost Input'!$F$5*100/$F$16*100</f>
        <v>588.73224567048453</v>
      </c>
      <c r="L17" s="295">
        <f ca="1">'Battery Design'!L9/'Cost Input'!$F$5*100/$F$16*100</f>
        <v>588.73224567048453</v>
      </c>
      <c r="M17" s="295">
        <f ca="1">'Battery Design'!M9/'Cost Input'!$F$5*100/$F$16*100</f>
        <v>588.73224567048453</v>
      </c>
      <c r="O17" s="35"/>
      <c r="S17" s="34"/>
    </row>
    <row r="18" spans="2:19">
      <c r="B18" s="746" t="str">
        <f t="shared" ref="B18:B31" si="3">$B$15 &amp; ": " &amp; C18</f>
        <v>Total Cell Materials per Accepted Cell: Positive electrode carbon additive</v>
      </c>
      <c r="C18" s="256" t="s">
        <v>1195</v>
      </c>
      <c r="D18" s="256"/>
      <c r="E18" s="256"/>
      <c r="F18" s="162"/>
      <c r="G18" s="295">
        <f ca="1">'Battery Design'!G10/'Cost Input'!$F$5*100/$F$16*100</f>
        <v>12.265255118135093</v>
      </c>
      <c r="H18" s="295">
        <f ca="1">'Battery Design'!H10/'Cost Input'!$F$5*100/$F$16*100</f>
        <v>12.265255118135093</v>
      </c>
      <c r="I18" s="295">
        <f ca="1">'Battery Design'!I10/'Cost Input'!$F$5*100/$F$16*100</f>
        <v>12.265255118135093</v>
      </c>
      <c r="J18" s="295">
        <f ca="1">'Battery Design'!J10/'Cost Input'!$F$5*100/$F$16*100</f>
        <v>12.265255118135093</v>
      </c>
      <c r="K18" s="295">
        <f ca="1">'Battery Design'!K10/'Cost Input'!$F$5*100/$F$16*100</f>
        <v>12.265255118135093</v>
      </c>
      <c r="L18" s="295">
        <f ca="1">'Battery Design'!L10/'Cost Input'!$F$5*100/$F$16*100</f>
        <v>12.265255118135093</v>
      </c>
      <c r="M18" s="295">
        <f ca="1">'Battery Design'!M10/'Cost Input'!$F$5*100/$F$16*100</f>
        <v>12.265255118135093</v>
      </c>
      <c r="S18" s="34"/>
    </row>
    <row r="19" spans="2:19">
      <c r="B19" s="746" t="str">
        <f t="shared" si="3"/>
        <v>Total Cell Materials per Accepted Cell: Positive electrode binder</v>
      </c>
      <c r="C19" s="256" t="s">
        <v>1320</v>
      </c>
      <c r="D19" s="256"/>
      <c r="E19" s="256"/>
      <c r="F19" s="162"/>
      <c r="G19" s="295">
        <f ca="1">'Battery Design'!G11/'Cost Input'!$F$5*100/$F$16*100</f>
        <v>12.265255118135093</v>
      </c>
      <c r="H19" s="295">
        <f ca="1">'Battery Design'!H11/'Cost Input'!$F$5*100/$F$16*100</f>
        <v>12.265255118135093</v>
      </c>
      <c r="I19" s="295">
        <f ca="1">'Battery Design'!I11/'Cost Input'!$F$5*100/$F$16*100</f>
        <v>12.265255118135093</v>
      </c>
      <c r="J19" s="295">
        <f ca="1">'Battery Design'!J11/'Cost Input'!$F$5*100/$F$16*100</f>
        <v>12.265255118135093</v>
      </c>
      <c r="K19" s="295">
        <f ca="1">'Battery Design'!K11/'Cost Input'!$F$5*100/$F$16*100</f>
        <v>12.265255118135093</v>
      </c>
      <c r="L19" s="295">
        <f ca="1">'Battery Design'!L11/'Cost Input'!$F$5*100/$F$16*100</f>
        <v>12.265255118135093</v>
      </c>
      <c r="M19" s="295">
        <f ca="1">'Battery Design'!M11/'Cost Input'!$F$5*100/$F$16*100</f>
        <v>12.265255118135093</v>
      </c>
      <c r="S19" s="34"/>
    </row>
    <row r="20" spans="2:19">
      <c r="B20" s="746" t="str">
        <f t="shared" si="3"/>
        <v xml:space="preserve">Total Cell Materials per Accepted Cell: Positive electrode binder solvent </v>
      </c>
      <c r="C20" s="256" t="s">
        <v>1321</v>
      </c>
      <c r="D20" s="256"/>
      <c r="E20" s="256"/>
      <c r="F20" s="162"/>
      <c r="G20" s="295">
        <f t="shared" ref="G20:L20" ca="1" si="4">96/4*G19</f>
        <v>294.36612283524221</v>
      </c>
      <c r="H20" s="295">
        <f t="shared" ca="1" si="4"/>
        <v>294.36612283524221</v>
      </c>
      <c r="I20" s="295">
        <f t="shared" ca="1" si="4"/>
        <v>294.36612283524221</v>
      </c>
      <c r="J20" s="295">
        <f t="shared" ca="1" si="4"/>
        <v>294.36612283524221</v>
      </c>
      <c r="K20" s="295">
        <f t="shared" ca="1" si="4"/>
        <v>294.36612283524221</v>
      </c>
      <c r="L20" s="295">
        <f t="shared" ca="1" si="4"/>
        <v>294.36612283524221</v>
      </c>
      <c r="M20" s="295">
        <f ca="1">96/4*M19</f>
        <v>294.36612283524221</v>
      </c>
      <c r="O20" s="295"/>
    </row>
    <row r="21" spans="2:19">
      <c r="B21" s="746" t="str">
        <f t="shared" si="3"/>
        <v>Total Cell Materials per Accepted Cell: Total for positive electrode (dry)</v>
      </c>
      <c r="C21" s="256" t="s">
        <v>1196</v>
      </c>
      <c r="D21" s="256"/>
      <c r="E21" s="256"/>
      <c r="F21" s="162"/>
      <c r="G21" s="295">
        <f t="shared" ref="G21:L21" ca="1" si="5">SUM(G17:G19)</f>
        <v>613.26275590675471</v>
      </c>
      <c r="H21" s="295">
        <f t="shared" ca="1" si="5"/>
        <v>613.26275590675471</v>
      </c>
      <c r="I21" s="295">
        <f t="shared" ca="1" si="5"/>
        <v>613.26275590675471</v>
      </c>
      <c r="J21" s="295">
        <f t="shared" ca="1" si="5"/>
        <v>613.26275590675471</v>
      </c>
      <c r="K21" s="295">
        <f t="shared" ca="1" si="5"/>
        <v>613.26275590675471</v>
      </c>
      <c r="L21" s="295">
        <f t="shared" ca="1" si="5"/>
        <v>613.26275590675471</v>
      </c>
      <c r="M21" s="295">
        <f ca="1">SUM(M17:M19)</f>
        <v>613.26275590675471</v>
      </c>
      <c r="R21" s="30"/>
    </row>
    <row r="22" spans="2:19" ht="12.75" customHeight="1">
      <c r="B22" s="255" t="s">
        <v>173</v>
      </c>
      <c r="C22" s="256"/>
      <c r="D22" s="256"/>
      <c r="E22" s="256"/>
      <c r="F22" s="162">
        <f>'Cost Input'!F8</f>
        <v>92.2</v>
      </c>
      <c r="G22" s="295"/>
      <c r="H22" s="295"/>
      <c r="I22" s="295"/>
      <c r="J22" s="295"/>
      <c r="K22" s="295"/>
      <c r="L22" s="295"/>
      <c r="M22" s="295"/>
    </row>
    <row r="23" spans="2:19" ht="12.75" customHeight="1">
      <c r="B23" s="746" t="str">
        <f t="shared" si="3"/>
        <v>Total Cell Materials per Accepted Cell: Negative electrode active material</v>
      </c>
      <c r="C23" s="256" t="s">
        <v>1325</v>
      </c>
      <c r="D23" s="256"/>
      <c r="E23" s="256"/>
      <c r="F23" s="243"/>
      <c r="G23" s="295">
        <f ca="1">'Battery Design'!G15/$F$22*100/'Cost Input'!$F$5*100</f>
        <v>28.855390594189267</v>
      </c>
      <c r="H23" s="295">
        <f ca="1">'Battery Design'!H15/$F$22*100/'Cost Input'!$F$5*100</f>
        <v>28.855390594189267</v>
      </c>
      <c r="I23" s="295">
        <f ca="1">'Battery Design'!I15/$F$22*100/'Cost Input'!$F$5*100</f>
        <v>28.855390594189267</v>
      </c>
      <c r="J23" s="295">
        <f ca="1">'Battery Design'!J15/$F$22*100/'Cost Input'!$F$5*100</f>
        <v>28.855390594189267</v>
      </c>
      <c r="K23" s="295">
        <f ca="1">'Battery Design'!K15/$F$22*100/'Cost Input'!$F$5*100</f>
        <v>28.855390594189267</v>
      </c>
      <c r="L23" s="295">
        <f ca="1">'Battery Design'!L15/$F$22*100/'Cost Input'!$F$5*100</f>
        <v>28.855390594189267</v>
      </c>
      <c r="M23" s="295">
        <f ca="1">'Battery Design'!M15/$F$22*100/'Cost Input'!$F$5*100</f>
        <v>28.855390594189267</v>
      </c>
    </row>
    <row r="24" spans="2:19" ht="12.75" customHeight="1">
      <c r="B24" s="746" t="str">
        <f t="shared" si="3"/>
        <v xml:space="preserve">Total Cell Materials per Accepted Cell: Negative electrode carbon additive </v>
      </c>
      <c r="C24" s="256" t="s">
        <v>1326</v>
      </c>
      <c r="D24" s="256"/>
      <c r="E24" s="256"/>
      <c r="F24" s="243"/>
      <c r="G24" s="295">
        <f ca="1">'Battery Design'!G16/$F$22*100/'Cost Input'!$F$5*100</f>
        <v>0</v>
      </c>
      <c r="H24" s="295">
        <f ca="1">'Battery Design'!H16/$F$22*100/'Cost Input'!$F$5*100</f>
        <v>0</v>
      </c>
      <c r="I24" s="295">
        <f ca="1">'Battery Design'!I16/$F$22*100/'Cost Input'!$F$5*100</f>
        <v>0</v>
      </c>
      <c r="J24" s="295">
        <f ca="1">'Battery Design'!J16/$F$22*100/'Cost Input'!$F$5*100</f>
        <v>0</v>
      </c>
      <c r="K24" s="295">
        <f ca="1">'Battery Design'!K16/$F$22*100/'Cost Input'!$F$5*100</f>
        <v>0</v>
      </c>
      <c r="L24" s="295">
        <f ca="1">'Battery Design'!L16/$F$22*100/'Cost Input'!$F$5*100</f>
        <v>0</v>
      </c>
      <c r="M24" s="295">
        <f ca="1">'Battery Design'!M16/$F$22*100/'Cost Input'!$F$5*100</f>
        <v>0</v>
      </c>
    </row>
    <row r="25" spans="2:19" ht="12.75" customHeight="1">
      <c r="B25" s="746" t="str">
        <f t="shared" si="3"/>
        <v xml:space="preserve">Total Cell Materials per Accepted Cell: Negative electrode binder </v>
      </c>
      <c r="C25" s="256" t="s">
        <v>1327</v>
      </c>
      <c r="D25" s="256"/>
      <c r="E25" s="256"/>
      <c r="F25" s="243"/>
      <c r="G25" s="295">
        <f ca="1">'Battery Design'!G17/$F$22*100/'Cost Input'!$F$5*100</f>
        <v>0</v>
      </c>
      <c r="H25" s="295">
        <f ca="1">'Battery Design'!H17/$F$22*100/'Cost Input'!$F$5*100</f>
        <v>0</v>
      </c>
      <c r="I25" s="295">
        <f ca="1">'Battery Design'!I17/$F$22*100/'Cost Input'!$F$5*100</f>
        <v>0</v>
      </c>
      <c r="J25" s="295">
        <f ca="1">'Battery Design'!J17/$F$22*100/'Cost Input'!$F$5*100</f>
        <v>0</v>
      </c>
      <c r="K25" s="295">
        <f ca="1">'Battery Design'!K17/$F$22*100/'Cost Input'!$F$5*100</f>
        <v>0</v>
      </c>
      <c r="L25" s="295">
        <f ca="1">'Battery Design'!L17/$F$22*100/'Cost Input'!$F$5*100</f>
        <v>0</v>
      </c>
      <c r="M25" s="295">
        <f ca="1">'Battery Design'!M17/$F$22*100/'Cost Input'!$F$5*100</f>
        <v>0</v>
      </c>
    </row>
    <row r="26" spans="2:19" ht="12.75" customHeight="1">
      <c r="B26" s="746" t="str">
        <f t="shared" si="3"/>
        <v>Total Cell Materials per Accepted Cell: Negative electrode binder solvent</v>
      </c>
      <c r="C26" s="256" t="s">
        <v>1328</v>
      </c>
      <c r="D26" s="256"/>
      <c r="E26" s="256"/>
      <c r="F26" s="243"/>
      <c r="G26" s="295">
        <f t="shared" ref="G26:L26" ca="1" si="6">96/4*G25</f>
        <v>0</v>
      </c>
      <c r="H26" s="295">
        <f t="shared" ca="1" si="6"/>
        <v>0</v>
      </c>
      <c r="I26" s="295">
        <f t="shared" ca="1" si="6"/>
        <v>0</v>
      </c>
      <c r="J26" s="295">
        <f t="shared" ca="1" si="6"/>
        <v>0</v>
      </c>
      <c r="K26" s="295">
        <f t="shared" ca="1" si="6"/>
        <v>0</v>
      </c>
      <c r="L26" s="295">
        <f t="shared" ca="1" si="6"/>
        <v>0</v>
      </c>
      <c r="M26" s="295">
        <f ca="1">96/4*M25</f>
        <v>0</v>
      </c>
      <c r="O26" s="387"/>
    </row>
    <row r="27" spans="2:19" ht="12.75" customHeight="1">
      <c r="B27" s="746" t="str">
        <f t="shared" si="3"/>
        <v>Total Cell Materials per Accepted Cell: Total for negative electrode (dry)</v>
      </c>
      <c r="C27" s="256" t="s">
        <v>1329</v>
      </c>
      <c r="D27" s="256"/>
      <c r="E27" s="256"/>
      <c r="F27" s="243"/>
      <c r="G27" s="295">
        <f t="shared" ref="G27:L27" ca="1" si="7">SUM(G23:G25)</f>
        <v>28.855390594189267</v>
      </c>
      <c r="H27" s="295">
        <f t="shared" ca="1" si="7"/>
        <v>28.855390594189267</v>
      </c>
      <c r="I27" s="295">
        <f t="shared" ca="1" si="7"/>
        <v>28.855390594189267</v>
      </c>
      <c r="J27" s="295">
        <f t="shared" ca="1" si="7"/>
        <v>28.855390594189267</v>
      </c>
      <c r="K27" s="295">
        <f t="shared" ca="1" si="7"/>
        <v>28.855390594189267</v>
      </c>
      <c r="L27" s="295">
        <f t="shared" ca="1" si="7"/>
        <v>28.855390594189267</v>
      </c>
      <c r="M27" s="295">
        <f ca="1">SUM(M23:M25)</f>
        <v>28.855390594189267</v>
      </c>
    </row>
    <row r="28" spans="2:19" ht="12.75" customHeight="1">
      <c r="B28" s="746" t="str">
        <f t="shared" si="3"/>
        <v>Total Cell Materials per Accepted Cell: Positive current collector, m2</v>
      </c>
      <c r="C28" s="256" t="s">
        <v>1322</v>
      </c>
      <c r="D28" s="256"/>
      <c r="E28" s="256"/>
      <c r="F28" s="162">
        <f>'Cost Input'!F9</f>
        <v>90.2</v>
      </c>
      <c r="G28" s="296">
        <f ca="1">'Battery Design'!G21/$F28*100/'Cost Input'!$F$5*100</f>
        <v>1.1730002076168899</v>
      </c>
      <c r="H28" s="296">
        <f ca="1">'Battery Design'!H21/$F28*100/'Cost Input'!$F$5*100</f>
        <v>1.1730002076168899</v>
      </c>
      <c r="I28" s="296">
        <f ca="1">'Battery Design'!I21/$F28*100/'Cost Input'!$F$5*100</f>
        <v>1.1730002076168899</v>
      </c>
      <c r="J28" s="296">
        <f ca="1">'Battery Design'!J21/$F28*100/'Cost Input'!$F$5*100</f>
        <v>1.1730002076168899</v>
      </c>
      <c r="K28" s="296">
        <f ca="1">'Battery Design'!K21/$F28*100/'Cost Input'!$F$5*100</f>
        <v>1.1730002076168899</v>
      </c>
      <c r="L28" s="296">
        <f ca="1">'Battery Design'!L21/$F28*100/'Cost Input'!$F$5*100</f>
        <v>1.1730002076168899</v>
      </c>
      <c r="M28" s="296">
        <f ca="1">'Battery Design'!M21/$F28*100/'Cost Input'!$F$5*100</f>
        <v>1.1730002076168899</v>
      </c>
    </row>
    <row r="29" spans="2:19" ht="12.75" customHeight="1">
      <c r="B29" s="746" t="str">
        <f t="shared" si="3"/>
        <v>Total Cell Materials per Accepted Cell: Negative current collector, m2</v>
      </c>
      <c r="C29" s="256" t="s">
        <v>1323</v>
      </c>
      <c r="D29" s="256"/>
      <c r="E29" s="256"/>
      <c r="F29" s="162">
        <f>'Cost Input'!F10</f>
        <v>90.2</v>
      </c>
      <c r="G29" s="296">
        <f ca="1">'Battery Design'!G22/$F29*100/'Cost Input'!$F$5*100</f>
        <v>1.2368488986298627</v>
      </c>
      <c r="H29" s="296">
        <f ca="1">'Battery Design'!H22/$F29*100/'Cost Input'!$F$5*100</f>
        <v>1.2368488986298627</v>
      </c>
      <c r="I29" s="296">
        <f ca="1">'Battery Design'!I22/$F29*100/'Cost Input'!$F$5*100</f>
        <v>1.2368488986298627</v>
      </c>
      <c r="J29" s="296">
        <f ca="1">'Battery Design'!J22/$F29*100/'Cost Input'!$F$5*100</f>
        <v>1.2368488986298627</v>
      </c>
      <c r="K29" s="296">
        <f ca="1">'Battery Design'!K22/$F29*100/'Cost Input'!$F$5*100</f>
        <v>1.2368488986298627</v>
      </c>
      <c r="L29" s="296">
        <f ca="1">'Battery Design'!L22/$F29*100/'Cost Input'!$F$5*100</f>
        <v>1.2368488986298627</v>
      </c>
      <c r="M29" s="296">
        <f ca="1">'Battery Design'!M22/$F29*100/'Cost Input'!$F$5*100</f>
        <v>1.2368488986298627</v>
      </c>
    </row>
    <row r="30" spans="2:19" ht="12.75" customHeight="1">
      <c r="B30" s="746" t="str">
        <f t="shared" si="3"/>
        <v>Total Cell Materials per Accepted Cell: Separators, m2</v>
      </c>
      <c r="C30" s="256" t="s">
        <v>87</v>
      </c>
      <c r="D30" s="256"/>
      <c r="E30" s="256"/>
      <c r="F30" s="162">
        <f>'Cost Input'!F11</f>
        <v>98</v>
      </c>
      <c r="G30" s="296">
        <f ca="1">'Battery Design'!G23/$F30*100/'Cost Input'!$F$5*100</f>
        <v>2.0786407015618935</v>
      </c>
      <c r="H30" s="296">
        <f ca="1">'Battery Design'!H23/$F30*100/'Cost Input'!$F$5*100</f>
        <v>2.0786407015618935</v>
      </c>
      <c r="I30" s="296">
        <f ca="1">'Battery Design'!I23/$F30*100/'Cost Input'!$F$5*100</f>
        <v>2.0786407015618935</v>
      </c>
      <c r="J30" s="296">
        <f ca="1">'Battery Design'!J23/$F30*100/'Cost Input'!$F$5*100</f>
        <v>2.0786407015618935</v>
      </c>
      <c r="K30" s="296">
        <f ca="1">'Battery Design'!K23/$F30*100/'Cost Input'!$F$5*100</f>
        <v>2.0786407015618935</v>
      </c>
      <c r="L30" s="296">
        <f ca="1">'Battery Design'!L23/$F30*100/'Cost Input'!$F$5*100</f>
        <v>2.0786407015618935</v>
      </c>
      <c r="M30" s="296">
        <f ca="1">'Battery Design'!M23/$F30*100/'Cost Input'!$F$5*100</f>
        <v>2.0786407015618935</v>
      </c>
    </row>
    <row r="31" spans="2:19" ht="12.75" customHeight="1">
      <c r="B31" s="746" t="str">
        <f t="shared" si="3"/>
        <v>Total Cell Materials per Accepted Cell: Electrolyte, L</v>
      </c>
      <c r="C31" s="256" t="s">
        <v>88</v>
      </c>
      <c r="D31" s="256"/>
      <c r="E31" s="256"/>
      <c r="F31" s="162">
        <f>'Cost Input'!F12</f>
        <v>94</v>
      </c>
      <c r="G31" s="296">
        <f ca="1">'Battery Design'!G24/$F31*100/'Cost Input'!$F$5*100</f>
        <v>9.7333798678762767E-2</v>
      </c>
      <c r="H31" s="296">
        <f ca="1">'Battery Design'!H24/$F31*100/'Cost Input'!$F$5*100</f>
        <v>9.7333798678762767E-2</v>
      </c>
      <c r="I31" s="296">
        <f ca="1">'Battery Design'!I24/$F31*100/'Cost Input'!$F$5*100</f>
        <v>9.7333798678762767E-2</v>
      </c>
      <c r="J31" s="296">
        <f ca="1">'Battery Design'!J24/$F31*100/'Cost Input'!$F$5*100</f>
        <v>9.7333798678762767E-2</v>
      </c>
      <c r="K31" s="296">
        <f ca="1">'Battery Design'!K24/$F31*100/'Cost Input'!$F$5*100</f>
        <v>9.7333798678762767E-2</v>
      </c>
      <c r="L31" s="296">
        <f ca="1">'Battery Design'!L24/$F31*100/'Cost Input'!$F$5*100</f>
        <v>9.7333798678762767E-2</v>
      </c>
      <c r="M31" s="296">
        <f ca="1">'Battery Design'!M24/$F31*100/'Cost Input'!$F$5*100</f>
        <v>9.7333798678762767E-2</v>
      </c>
    </row>
    <row r="32" spans="2:19" ht="12.75" customHeight="1">
      <c r="B32" s="164" t="s">
        <v>89</v>
      </c>
      <c r="C32" s="255"/>
      <c r="D32" s="255"/>
      <c r="E32" s="149"/>
      <c r="F32" s="256"/>
      <c r="G32" s="201"/>
      <c r="H32" s="201"/>
      <c r="I32" s="201"/>
      <c r="J32" s="201"/>
      <c r="K32" s="201"/>
      <c r="L32" s="201"/>
      <c r="M32" s="201"/>
    </row>
    <row r="33" spans="1:18" ht="12.75" customHeight="1">
      <c r="B33" s="255" t="s">
        <v>5</v>
      </c>
      <c r="C33" s="255"/>
      <c r="D33" s="256"/>
      <c r="E33" s="149"/>
      <c r="F33" s="256"/>
      <c r="G33" s="201"/>
      <c r="H33" s="201"/>
      <c r="I33" s="201"/>
      <c r="J33" s="201"/>
      <c r="K33" s="201"/>
      <c r="L33" s="201"/>
      <c r="M33" s="201"/>
      <c r="O33" s="256"/>
    </row>
    <row r="34" spans="1:18" ht="12.75" customHeight="1">
      <c r="B34" s="746" t="str">
        <f t="shared" ref="B34:B51" si="8">$B$32 &amp; ": " &amp; C34</f>
        <v>Annual Cell Materials Rates: Positive electrode Active Material, kg</v>
      </c>
      <c r="C34" s="256" t="s">
        <v>1192</v>
      </c>
      <c r="D34" s="256"/>
      <c r="E34" s="256"/>
      <c r="F34" s="256"/>
      <c r="G34" s="297">
        <f t="shared" ref="G34:K36" ca="1" si="9">G17*G$7/1000</f>
        <v>235492.89826819382</v>
      </c>
      <c r="H34" s="297">
        <f t="shared" ca="1" si="9"/>
        <v>4709857.965363876</v>
      </c>
      <c r="I34" s="297">
        <f t="shared" ca="1" si="9"/>
        <v>7064786.9480458144</v>
      </c>
      <c r="J34" s="297">
        <f t="shared" ca="1" si="9"/>
        <v>9419715.9307277519</v>
      </c>
      <c r="K34" s="297">
        <f t="shared" ca="1" si="9"/>
        <v>11774644.913409691</v>
      </c>
      <c r="L34" s="297">
        <f t="shared" ref="L34:M36" ca="1" si="10">L17*L$7/1000</f>
        <v>17661967.370114535</v>
      </c>
      <c r="M34" s="297">
        <f t="shared" ca="1" si="10"/>
        <v>23549289.826819383</v>
      </c>
      <c r="O34" s="256"/>
      <c r="R34" s="297"/>
    </row>
    <row r="35" spans="1:18" ht="12.75" customHeight="1">
      <c r="B35" s="746" t="str">
        <f t="shared" si="8"/>
        <v>Annual Cell Materials Rates: Positive electrode Carbon additive, kg</v>
      </c>
      <c r="C35" s="256" t="s">
        <v>1193</v>
      </c>
      <c r="D35" s="256"/>
      <c r="E35" s="256"/>
      <c r="F35" s="256"/>
      <c r="G35" s="297">
        <f t="shared" ca="1" si="9"/>
        <v>4906.1020472540367</v>
      </c>
      <c r="H35" s="297">
        <f t="shared" ca="1" si="9"/>
        <v>98122.040945080749</v>
      </c>
      <c r="I35" s="297">
        <f t="shared" ca="1" si="9"/>
        <v>147183.06141762109</v>
      </c>
      <c r="J35" s="297">
        <f t="shared" ca="1" si="9"/>
        <v>196244.0818901615</v>
      </c>
      <c r="K35" s="297">
        <f t="shared" ca="1" si="9"/>
        <v>245305.10236270187</v>
      </c>
      <c r="L35" s="297">
        <f t="shared" ca="1" si="10"/>
        <v>367957.6535440528</v>
      </c>
      <c r="M35" s="297">
        <f t="shared" ca="1" si="10"/>
        <v>490610.20472540375</v>
      </c>
      <c r="O35" s="256"/>
      <c r="R35" s="297"/>
    </row>
    <row r="36" spans="1:18" ht="12.75" customHeight="1">
      <c r="B36" s="746" t="str">
        <f t="shared" si="8"/>
        <v>Annual Cell Materials Rates: Positive electrode Binder, kg</v>
      </c>
      <c r="C36" s="256" t="s">
        <v>1324</v>
      </c>
      <c r="D36" s="256"/>
      <c r="E36" s="256"/>
      <c r="F36" s="256"/>
      <c r="G36" s="297">
        <f t="shared" ca="1" si="9"/>
        <v>4906.1020472540367</v>
      </c>
      <c r="H36" s="297">
        <f t="shared" ca="1" si="9"/>
        <v>98122.040945080749</v>
      </c>
      <c r="I36" s="297">
        <f t="shared" ca="1" si="9"/>
        <v>147183.06141762109</v>
      </c>
      <c r="J36" s="297">
        <f t="shared" ca="1" si="9"/>
        <v>196244.0818901615</v>
      </c>
      <c r="K36" s="297">
        <f t="shared" ca="1" si="9"/>
        <v>245305.10236270187</v>
      </c>
      <c r="L36" s="297">
        <f t="shared" ca="1" si="10"/>
        <v>367957.6535440528</v>
      </c>
      <c r="M36" s="297">
        <f t="shared" ca="1" si="10"/>
        <v>490610.20472540375</v>
      </c>
      <c r="O36" s="256"/>
      <c r="R36" s="297"/>
    </row>
    <row r="37" spans="1:18" ht="12.75" customHeight="1">
      <c r="B37" s="746" t="str">
        <f t="shared" si="8"/>
        <v>Annual Cell Materials Rates: Positive electrode Binder solvent, kg per year</v>
      </c>
      <c r="C37" s="256" t="s">
        <v>1194</v>
      </c>
      <c r="D37" s="256"/>
      <c r="E37" s="256"/>
      <c r="F37" s="256"/>
      <c r="G37" s="297">
        <f ca="1">G20*G$7/1000*(1-'Cost Input'!$F13/100)</f>
        <v>588.73224567048499</v>
      </c>
      <c r="H37" s="297">
        <f ca="1">H20*H$7/1000*(1-'Cost Input'!$F13/100)</f>
        <v>11774.644913409698</v>
      </c>
      <c r="I37" s="297">
        <f ca="1">I20*I$7/1000*(1-'Cost Input'!$F13/100)</f>
        <v>17661.967370114548</v>
      </c>
      <c r="J37" s="297">
        <f ca="1">J20*J$7/1000*(1-'Cost Input'!$F13/100)</f>
        <v>23549.289826819397</v>
      </c>
      <c r="K37" s="297">
        <f ca="1">K20*K$7/1000*(1-'Cost Input'!$F13/100)</f>
        <v>29436.61228352425</v>
      </c>
      <c r="L37" s="297">
        <f ca="1">L20*L$7/1000*(1-'Cost Input'!$F13/100)</f>
        <v>44154.918425286371</v>
      </c>
      <c r="M37" s="297">
        <f ca="1">M20*M$7/1000*(1-'Cost Input'!$F13/100)</f>
        <v>58873.224567048499</v>
      </c>
      <c r="O37" s="256"/>
      <c r="R37" s="297"/>
    </row>
    <row r="38" spans="1:18" ht="12.75" customHeight="1">
      <c r="B38" s="255" t="s">
        <v>90</v>
      </c>
      <c r="C38" s="255"/>
      <c r="D38" s="256"/>
      <c r="E38" s="256"/>
      <c r="F38" s="256"/>
      <c r="G38" s="297"/>
      <c r="H38" s="297"/>
      <c r="I38" s="297"/>
      <c r="J38" s="297"/>
      <c r="K38" s="297"/>
      <c r="L38" s="297"/>
      <c r="M38" s="297"/>
      <c r="O38" s="256"/>
      <c r="R38" s="297"/>
    </row>
    <row r="39" spans="1:18" ht="12.75" customHeight="1">
      <c r="B39" s="746" t="str">
        <f>$B$32 &amp; ": " &amp; C39</f>
        <v>Annual Cell Materials Rates: Negative electrode active Material, kg</v>
      </c>
      <c r="C39" s="256" t="s">
        <v>1330</v>
      </c>
      <c r="D39" s="256"/>
      <c r="E39" s="256"/>
      <c r="F39" s="256"/>
      <c r="G39" s="297">
        <f t="shared" ref="G39:K41" ca="1" si="11">G23*G$7/1000</f>
        <v>11542.156237675707</v>
      </c>
      <c r="H39" s="297">
        <f t="shared" ca="1" si="11"/>
        <v>230843.12475351413</v>
      </c>
      <c r="I39" s="297">
        <f t="shared" ca="1" si="11"/>
        <v>346264.68713027122</v>
      </c>
      <c r="J39" s="297">
        <f t="shared" ca="1" si="11"/>
        <v>461686.24950702826</v>
      </c>
      <c r="K39" s="297">
        <f t="shared" ca="1" si="11"/>
        <v>577107.81188378541</v>
      </c>
      <c r="L39" s="297">
        <f t="shared" ref="L39:M41" ca="1" si="12">L23*L$7/1000</f>
        <v>865661.71782567794</v>
      </c>
      <c r="M39" s="297">
        <f t="shared" ca="1" si="12"/>
        <v>1154215.6237675708</v>
      </c>
      <c r="O39" s="256"/>
      <c r="R39" s="297"/>
    </row>
    <row r="40" spans="1:18" ht="12.75" customHeight="1">
      <c r="A40" s="256"/>
      <c r="B40" s="746" t="str">
        <f t="shared" si="8"/>
        <v>Annual Cell Materials Rates: Negative electrode carbon additve, kg</v>
      </c>
      <c r="C40" s="256" t="s">
        <v>1331</v>
      </c>
      <c r="D40" s="256"/>
      <c r="E40" s="256"/>
      <c r="F40" s="256"/>
      <c r="G40" s="297">
        <f t="shared" ca="1" si="11"/>
        <v>0</v>
      </c>
      <c r="H40" s="297">
        <f t="shared" ca="1" si="11"/>
        <v>0</v>
      </c>
      <c r="I40" s="297">
        <f t="shared" ca="1" si="11"/>
        <v>0</v>
      </c>
      <c r="J40" s="297">
        <f t="shared" ca="1" si="11"/>
        <v>0</v>
      </c>
      <c r="K40" s="297">
        <f t="shared" ca="1" si="11"/>
        <v>0</v>
      </c>
      <c r="L40" s="297">
        <f t="shared" ca="1" si="12"/>
        <v>0</v>
      </c>
      <c r="M40" s="297">
        <f t="shared" ca="1" si="12"/>
        <v>0</v>
      </c>
      <c r="O40" s="256"/>
      <c r="R40" s="297"/>
    </row>
    <row r="41" spans="1:18" ht="12.75" customHeight="1">
      <c r="B41" s="746" t="str">
        <f t="shared" si="8"/>
        <v>Annual Cell Materials Rates: Negative electrode binder, kg</v>
      </c>
      <c r="C41" s="256" t="s">
        <v>1332</v>
      </c>
      <c r="D41" s="256"/>
      <c r="E41" s="256"/>
      <c r="F41" s="256"/>
      <c r="G41" s="297">
        <f t="shared" ca="1" si="11"/>
        <v>0</v>
      </c>
      <c r="H41" s="297">
        <f t="shared" ca="1" si="11"/>
        <v>0</v>
      </c>
      <c r="I41" s="297">
        <f t="shared" ca="1" si="11"/>
        <v>0</v>
      </c>
      <c r="J41" s="297">
        <f t="shared" ca="1" si="11"/>
        <v>0</v>
      </c>
      <c r="K41" s="297">
        <f t="shared" ca="1" si="11"/>
        <v>0</v>
      </c>
      <c r="L41" s="297">
        <f t="shared" ca="1" si="12"/>
        <v>0</v>
      </c>
      <c r="M41" s="297">
        <f t="shared" ca="1" si="12"/>
        <v>0</v>
      </c>
      <c r="O41" s="256"/>
      <c r="R41" s="297"/>
    </row>
    <row r="42" spans="1:18" ht="12.75" customHeight="1">
      <c r="B42" s="746" t="str">
        <f t="shared" si="8"/>
        <v>Annual Cell Materials Rates: Positive current collector, m2</v>
      </c>
      <c r="C42" s="256" t="s">
        <v>1322</v>
      </c>
      <c r="D42" s="256"/>
      <c r="E42" s="256"/>
      <c r="F42" s="256"/>
      <c r="G42" s="297">
        <f t="shared" ref="G42:K45" ca="1" si="13">G28*G$7</f>
        <v>469200.08304675599</v>
      </c>
      <c r="H42" s="297">
        <f t="shared" ca="1" si="13"/>
        <v>9384001.6609351188</v>
      </c>
      <c r="I42" s="297">
        <f t="shared" ca="1" si="13"/>
        <v>14076002.49140268</v>
      </c>
      <c r="J42" s="297">
        <f t="shared" ca="1" si="13"/>
        <v>18768003.321870238</v>
      </c>
      <c r="K42" s="297">
        <f t="shared" ca="1" si="13"/>
        <v>23460004.152337801</v>
      </c>
      <c r="L42" s="297">
        <f t="shared" ref="L42:M45" ca="1" si="14">L28*L$7</f>
        <v>35190006.228506699</v>
      </c>
      <c r="M42" s="297">
        <f t="shared" ca="1" si="14"/>
        <v>46920008.304675601</v>
      </c>
      <c r="O42" s="256"/>
      <c r="R42" s="297"/>
    </row>
    <row r="43" spans="1:18" ht="12.75" customHeight="1">
      <c r="B43" s="746" t="str">
        <f t="shared" si="8"/>
        <v>Annual Cell Materials Rates: Negative current collector, m2</v>
      </c>
      <c r="C43" s="256" t="s">
        <v>1323</v>
      </c>
      <c r="D43" s="256"/>
      <c r="E43" s="256"/>
      <c r="F43" s="256"/>
      <c r="G43" s="297">
        <f t="shared" ca="1" si="13"/>
        <v>494739.55945194507</v>
      </c>
      <c r="H43" s="297">
        <f t="shared" ca="1" si="13"/>
        <v>9894791.1890389007</v>
      </c>
      <c r="I43" s="297">
        <f t="shared" ca="1" si="13"/>
        <v>14842186.783558352</v>
      </c>
      <c r="J43" s="297">
        <f t="shared" ca="1" si="13"/>
        <v>19789582.378077801</v>
      </c>
      <c r="K43" s="297">
        <f t="shared" ca="1" si="13"/>
        <v>24736977.972597253</v>
      </c>
      <c r="L43" s="297">
        <f t="shared" ca="1" si="14"/>
        <v>37105466.958895884</v>
      </c>
      <c r="M43" s="297">
        <f t="shared" ca="1" si="14"/>
        <v>49473955.945194505</v>
      </c>
      <c r="O43" s="256"/>
      <c r="R43" s="297"/>
    </row>
    <row r="44" spans="1:18" ht="12.75" customHeight="1">
      <c r="B44" s="746" t="str">
        <f t="shared" si="8"/>
        <v>Annual Cell Materials Rates: Separators, m2</v>
      </c>
      <c r="C44" s="256" t="s">
        <v>87</v>
      </c>
      <c r="D44" s="256"/>
      <c r="E44" s="256"/>
      <c r="F44" s="256"/>
      <c r="G44" s="297">
        <f t="shared" ca="1" si="13"/>
        <v>831456.2806247574</v>
      </c>
      <c r="H44" s="297">
        <f t="shared" ca="1" si="13"/>
        <v>16629125.612495149</v>
      </c>
      <c r="I44" s="297">
        <f t="shared" ca="1" si="13"/>
        <v>24943688.418742724</v>
      </c>
      <c r="J44" s="297">
        <f t="shared" ca="1" si="13"/>
        <v>33258251.224990297</v>
      </c>
      <c r="K44" s="297">
        <f t="shared" ca="1" si="13"/>
        <v>41572814.03123787</v>
      </c>
      <c r="L44" s="297">
        <f t="shared" ca="1" si="14"/>
        <v>62359221.046856806</v>
      </c>
      <c r="M44" s="297">
        <f t="shared" ca="1" si="14"/>
        <v>83145628.062475741</v>
      </c>
      <c r="O44" s="256"/>
      <c r="R44" s="297"/>
    </row>
    <row r="45" spans="1:18" ht="12.75" customHeight="1">
      <c r="A45" s="256"/>
      <c r="B45" s="746" t="str">
        <f t="shared" si="8"/>
        <v>Annual Cell Materials Rates: Electrolyte, L</v>
      </c>
      <c r="C45" s="256" t="s">
        <v>88</v>
      </c>
      <c r="D45" s="256"/>
      <c r="E45" s="256"/>
      <c r="F45" s="256"/>
      <c r="G45" s="297">
        <f t="shared" ca="1" si="13"/>
        <v>38933.519471505104</v>
      </c>
      <c r="H45" s="297">
        <f t="shared" ca="1" si="13"/>
        <v>778670.38943010219</v>
      </c>
      <c r="I45" s="297">
        <f t="shared" ca="1" si="13"/>
        <v>1168005.5841451532</v>
      </c>
      <c r="J45" s="297">
        <f t="shared" ca="1" si="13"/>
        <v>1557340.7788602044</v>
      </c>
      <c r="K45" s="297">
        <f t="shared" ca="1" si="13"/>
        <v>1946675.9735752554</v>
      </c>
      <c r="L45" s="297">
        <f t="shared" ca="1" si="14"/>
        <v>2920013.9603628828</v>
      </c>
      <c r="M45" s="297">
        <f t="shared" ca="1" si="14"/>
        <v>3893351.9471505107</v>
      </c>
      <c r="O45" s="256"/>
      <c r="R45" s="297"/>
    </row>
    <row r="46" spans="1:18" ht="12.75" customHeight="1">
      <c r="B46" s="746" t="str">
        <f t="shared" si="8"/>
        <v>Annual Cell Materials Rates: Number of positive terminal assemblies</v>
      </c>
      <c r="C46" s="17" t="s">
        <v>1316</v>
      </c>
      <c r="D46" s="17"/>
      <c r="E46" s="256"/>
      <c r="F46" s="256"/>
      <c r="G46" s="297">
        <f>G$7/'Cost Input'!$F5*100</f>
        <v>421052.6315789473</v>
      </c>
      <c r="H46" s="297">
        <f>H$7/'Cost Input'!$F5*100</f>
        <v>8421052.6315789483</v>
      </c>
      <c r="I46" s="297">
        <f>I$7/'Cost Input'!$F5*100</f>
        <v>12631578.947368421</v>
      </c>
      <c r="J46" s="297">
        <f>J$7/'Cost Input'!$F5*100</f>
        <v>16842105.263157897</v>
      </c>
      <c r="K46" s="297">
        <f>K$7/'Cost Input'!$F5*100</f>
        <v>21052631.578947369</v>
      </c>
      <c r="L46" s="297">
        <f>L$7/'Cost Input'!$F5*100</f>
        <v>31578947.368421052</v>
      </c>
      <c r="M46" s="297">
        <f>M$7/'Cost Input'!$F5*100</f>
        <v>42105263.157894738</v>
      </c>
      <c r="O46" s="17"/>
      <c r="R46" s="297"/>
    </row>
    <row r="47" spans="1:18" ht="12.75" customHeight="1">
      <c r="B47" s="746" t="str">
        <f t="shared" si="8"/>
        <v>Annual Cell Materials Rates: Number of negative terminal assemblies</v>
      </c>
      <c r="C47" s="17" t="s">
        <v>1317</v>
      </c>
      <c r="D47" s="17"/>
      <c r="E47" s="256"/>
      <c r="F47" s="256"/>
      <c r="G47" s="297">
        <f t="shared" ref="G47:K48" si="15">G46</f>
        <v>421052.6315789473</v>
      </c>
      <c r="H47" s="297">
        <f t="shared" si="15"/>
        <v>8421052.6315789483</v>
      </c>
      <c r="I47" s="297">
        <f t="shared" si="15"/>
        <v>12631578.947368421</v>
      </c>
      <c r="J47" s="297">
        <f t="shared" si="15"/>
        <v>16842105.263157897</v>
      </c>
      <c r="K47" s="297">
        <f t="shared" si="15"/>
        <v>21052631.578947369</v>
      </c>
      <c r="L47" s="297">
        <f>L46</f>
        <v>31578947.368421052</v>
      </c>
      <c r="M47" s="297">
        <f>M46</f>
        <v>42105263.157894738</v>
      </c>
      <c r="O47" s="17"/>
      <c r="R47" s="297"/>
    </row>
    <row r="48" spans="1:18" ht="12.75" customHeight="1">
      <c r="B48" s="746" t="str">
        <f t="shared" si="8"/>
        <v>Annual Cell Materials Rates: Number of cell containers</v>
      </c>
      <c r="C48" s="17" t="s">
        <v>1318</v>
      </c>
      <c r="D48" s="17"/>
      <c r="E48" s="256"/>
      <c r="F48" s="256"/>
      <c r="G48" s="297">
        <f t="shared" si="15"/>
        <v>421052.6315789473</v>
      </c>
      <c r="H48" s="297">
        <f t="shared" si="15"/>
        <v>8421052.6315789483</v>
      </c>
      <c r="I48" s="297">
        <f t="shared" si="15"/>
        <v>12631578.947368421</v>
      </c>
      <c r="J48" s="297">
        <f t="shared" si="15"/>
        <v>16842105.263157897</v>
      </c>
      <c r="K48" s="297">
        <f t="shared" si="15"/>
        <v>21052631.578947369</v>
      </c>
      <c r="L48" s="297">
        <f>L47</f>
        <v>31578947.368421052</v>
      </c>
      <c r="M48" s="297">
        <f>M47</f>
        <v>42105263.157894738</v>
      </c>
      <c r="O48" s="17"/>
      <c r="R48" s="297"/>
    </row>
    <row r="49" spans="1:25" ht="12.75" customHeight="1">
      <c r="A49" s="256"/>
      <c r="B49" s="746" t="str">
        <f t="shared" si="8"/>
        <v xml:space="preserve">Annual Cell Materials Rates: Aluminum thermal conductor </v>
      </c>
      <c r="C49" s="96" t="s">
        <v>327</v>
      </c>
      <c r="D49" s="17"/>
      <c r="E49" s="256"/>
      <c r="F49" s="256"/>
      <c r="G49" s="297">
        <f t="shared" ref="G49:L49" si="16">G7</f>
        <v>400000</v>
      </c>
      <c r="H49" s="297">
        <f t="shared" si="16"/>
        <v>8000000</v>
      </c>
      <c r="I49" s="297">
        <f t="shared" si="16"/>
        <v>12000000</v>
      </c>
      <c r="J49" s="297">
        <f t="shared" si="16"/>
        <v>16000000</v>
      </c>
      <c r="K49" s="297">
        <f t="shared" si="16"/>
        <v>20000000</v>
      </c>
      <c r="L49" s="297">
        <f t="shared" si="16"/>
        <v>30000000</v>
      </c>
      <c r="M49" s="297">
        <f>M7</f>
        <v>40000000</v>
      </c>
      <c r="O49" s="96"/>
      <c r="R49" s="297"/>
    </row>
    <row r="50" spans="1:25" ht="12.75" customHeight="1">
      <c r="B50" s="746" t="str">
        <f t="shared" si="8"/>
        <v>Annual Cell Materials Rates: Positive binder solvent evaporated, kg</v>
      </c>
      <c r="C50" s="96" t="s">
        <v>278</v>
      </c>
      <c r="D50" s="17"/>
      <c r="E50" s="256"/>
      <c r="F50" s="256"/>
      <c r="G50" s="297">
        <f t="shared" ref="G50:L50" ca="1" si="17">(G20)*G7/1000</f>
        <v>117746.4491340969</v>
      </c>
      <c r="H50" s="297">
        <f t="shared" ca="1" si="17"/>
        <v>2354928.9826819375</v>
      </c>
      <c r="I50" s="297">
        <f t="shared" ca="1" si="17"/>
        <v>3532393.4740229063</v>
      </c>
      <c r="J50" s="297">
        <f t="shared" ca="1" si="17"/>
        <v>4709857.965363875</v>
      </c>
      <c r="K50" s="297">
        <f t="shared" ca="1" si="17"/>
        <v>5887322.4567048447</v>
      </c>
      <c r="L50" s="297">
        <f t="shared" ca="1" si="17"/>
        <v>8830983.6850572657</v>
      </c>
      <c r="M50" s="297">
        <f ca="1">(M20)*M7/1000</f>
        <v>11774644.913409689</v>
      </c>
      <c r="O50" s="96"/>
      <c r="R50" s="297"/>
    </row>
    <row r="51" spans="1:25" ht="12.75" customHeight="1">
      <c r="B51" s="746" t="str">
        <f t="shared" si="8"/>
        <v>Annual Cell Materials Rates: Negative binder solvent evaporated, kg</v>
      </c>
      <c r="C51" s="96" t="s">
        <v>279</v>
      </c>
      <c r="D51" s="17"/>
      <c r="E51" s="256"/>
      <c r="F51" s="256"/>
      <c r="G51" s="297">
        <f t="shared" ref="G51:L51" ca="1" si="18">G26*G7/1000</f>
        <v>0</v>
      </c>
      <c r="H51" s="297">
        <f t="shared" ca="1" si="18"/>
        <v>0</v>
      </c>
      <c r="I51" s="297">
        <f t="shared" ca="1" si="18"/>
        <v>0</v>
      </c>
      <c r="J51" s="297">
        <f t="shared" ca="1" si="18"/>
        <v>0</v>
      </c>
      <c r="K51" s="297">
        <f t="shared" ca="1" si="18"/>
        <v>0</v>
      </c>
      <c r="L51" s="297">
        <f t="shared" ca="1" si="18"/>
        <v>0</v>
      </c>
      <c r="M51" s="297">
        <f ca="1">M26*M7/1000</f>
        <v>0</v>
      </c>
      <c r="O51" s="96"/>
      <c r="R51" s="297"/>
    </row>
    <row r="52" spans="1:25" ht="14">
      <c r="B52" s="213" t="s">
        <v>91</v>
      </c>
      <c r="C52" s="55"/>
      <c r="D52" s="55"/>
      <c r="E52" s="211" t="s">
        <v>28</v>
      </c>
      <c r="F52" s="211" t="s">
        <v>30</v>
      </c>
      <c r="G52" s="298"/>
      <c r="H52" s="298"/>
      <c r="I52" s="298"/>
      <c r="J52" s="298"/>
      <c r="K52" s="298"/>
      <c r="L52" s="298"/>
      <c r="M52" s="298"/>
    </row>
    <row r="53" spans="1:25" ht="14">
      <c r="B53" s="255" t="s">
        <v>29</v>
      </c>
      <c r="D53" s="256"/>
      <c r="E53" s="149"/>
      <c r="F53" s="256"/>
      <c r="G53" s="298"/>
      <c r="H53" s="298"/>
      <c r="I53" s="298"/>
      <c r="J53" s="298"/>
      <c r="K53" s="298"/>
      <c r="L53" s="298"/>
      <c r="M53" s="298"/>
      <c r="U53" s="213"/>
    </row>
    <row r="54" spans="1:25">
      <c r="B54" s="746" t="str">
        <f t="shared" ref="B54:B69" si="19">$B$52 &amp; ": " &amp; C54</f>
        <v>Unit Cell Materials Costs: Positive electrode active material, $/kg</v>
      </c>
      <c r="C54" s="753" t="s">
        <v>1336</v>
      </c>
      <c r="D54" s="256"/>
      <c r="E54" s="299">
        <f>'Cost Input'!E16</f>
        <v>7</v>
      </c>
      <c r="F54" s="299">
        <f>'Cost Input'!F16</f>
        <v>0.9</v>
      </c>
      <c r="G54" s="300">
        <f ca="1">$E54*('Cost Input'!$K$23/G$34)^(1-$F54)</f>
        <v>10.203122579122491</v>
      </c>
      <c r="H54" s="300">
        <f ca="1">$E54*('Cost Input'!$K$23/H$34)^(1-$F54)</f>
        <v>7.5618856318486083</v>
      </c>
      <c r="I54" s="300">
        <f ca="1">$E54*('Cost Input'!$K$23/I$34)^(1-$F54)</f>
        <v>7.2614103313149494</v>
      </c>
      <c r="J54" s="300">
        <f ca="1">$E54*('Cost Input'!$K$23/J$34)^(1-$F54)</f>
        <v>7.0554887727429083</v>
      </c>
      <c r="K54" s="300">
        <f ca="1">$E54*('Cost Input'!$K$23/K$34)^(1-$F54)</f>
        <v>6.8997936689520198</v>
      </c>
      <c r="L54" s="300">
        <f ca="1">$E54*('Cost Input'!$K$23/L$34)^(1-$F54)</f>
        <v>6.6256269230855187</v>
      </c>
      <c r="M54" s="300">
        <f ca="1">$E54*('Cost Input'!$K$23/M$34)^(1-$F54)</f>
        <v>6.4377351279290282</v>
      </c>
      <c r="U54" s="256"/>
    </row>
    <row r="55" spans="1:25">
      <c r="B55" s="746" t="str">
        <f t="shared" si="19"/>
        <v>Unit Cell Materials Costs: Positive electrode carbon additive, $/kg</v>
      </c>
      <c r="C55" s="753" t="s">
        <v>1333</v>
      </c>
      <c r="D55" s="256"/>
      <c r="E55" s="299">
        <f>'Cost Input'!E17</f>
        <v>6.6</v>
      </c>
      <c r="F55" s="299">
        <f>'Cost Input'!F17</f>
        <v>1</v>
      </c>
      <c r="G55" s="300">
        <f ca="1">$E55*('Cost Input'!$K$23/G$34)^(1-$F55)</f>
        <v>6.6</v>
      </c>
      <c r="H55" s="300">
        <f ca="1">$E55*('Cost Input'!$K$23/H$34)^(1-$F55)</f>
        <v>6.6</v>
      </c>
      <c r="I55" s="300">
        <f ca="1">$E55*('Cost Input'!$K$23/I$34)^(1-$F55)</f>
        <v>6.6</v>
      </c>
      <c r="J55" s="300">
        <f ca="1">$E55*('Cost Input'!$K$23/J$34)^(1-$F55)</f>
        <v>6.6</v>
      </c>
      <c r="K55" s="300">
        <f ca="1">$E55*('Cost Input'!$K$23/K$34)^(1-$F55)</f>
        <v>6.6</v>
      </c>
      <c r="L55" s="300">
        <f ca="1">$E55*('Cost Input'!$K$23/L$34)^(1-$F55)</f>
        <v>6.6</v>
      </c>
      <c r="M55" s="300">
        <f ca="1">$E55*('Cost Input'!$K$23/M$34)^(1-$F55)</f>
        <v>6.6</v>
      </c>
      <c r="U55" s="256"/>
      <c r="Y55" s="300"/>
    </row>
    <row r="56" spans="1:25">
      <c r="B56" s="746" t="str">
        <f t="shared" si="19"/>
        <v>Unit Cell Materials Costs: Positive electrode binder, $/kg</v>
      </c>
      <c r="C56" s="753" t="s">
        <v>1334</v>
      </c>
      <c r="D56" s="256"/>
      <c r="E56" s="299">
        <f>'Cost Input'!E18</f>
        <v>9.5</v>
      </c>
      <c r="F56" s="299">
        <f>'Cost Input'!F18</f>
        <v>1</v>
      </c>
      <c r="G56" s="300">
        <f ca="1">$E56*('Cost Input'!$K$23/G$34)^(1-$F56)</f>
        <v>9.5</v>
      </c>
      <c r="H56" s="300">
        <f ca="1">$E56*('Cost Input'!$K$23/H$34)^(1-$F56)</f>
        <v>9.5</v>
      </c>
      <c r="I56" s="300">
        <f ca="1">$E56*('Cost Input'!$K$23/I$34)^(1-$F56)</f>
        <v>9.5</v>
      </c>
      <c r="J56" s="300">
        <f ca="1">$E56*('Cost Input'!$K$23/J$34)^(1-$F56)</f>
        <v>9.5</v>
      </c>
      <c r="K56" s="300">
        <f ca="1">$E56*('Cost Input'!$K$23/K$34)^(1-$F56)</f>
        <v>9.5</v>
      </c>
      <c r="L56" s="300">
        <f ca="1">$E56*('Cost Input'!$K$23/L$34)^(1-$F56)</f>
        <v>9.5</v>
      </c>
      <c r="M56" s="300">
        <f ca="1">$E56*('Cost Input'!$K$23/M$34)^(1-$F56)</f>
        <v>9.5</v>
      </c>
      <c r="U56" s="256"/>
      <c r="Y56" s="300"/>
    </row>
    <row r="57" spans="1:25">
      <c r="B57" s="746" t="str">
        <f t="shared" si="19"/>
        <v>Unit Cell Materials Costs: Positive electrode binder solvent, $/kg</v>
      </c>
      <c r="C57" s="753" t="s">
        <v>1335</v>
      </c>
      <c r="D57" s="256"/>
      <c r="E57" s="299">
        <f>'Cost Input'!E19</f>
        <v>3.1</v>
      </c>
      <c r="F57" s="299">
        <f>'Cost Input'!F19</f>
        <v>1</v>
      </c>
      <c r="G57" s="300">
        <f ca="1">$E57*('Cost Input'!$K$23/G$34)^(1-$F57)</f>
        <v>3.1</v>
      </c>
      <c r="H57" s="300">
        <f ca="1">$E57*('Cost Input'!$K$23/H$34)^(1-$F57)</f>
        <v>3.1</v>
      </c>
      <c r="I57" s="300">
        <f ca="1">$E57*('Cost Input'!$K$23/I$34)^(1-$F57)</f>
        <v>3.1</v>
      </c>
      <c r="J57" s="300">
        <f ca="1">$E57*('Cost Input'!$K$23/J$34)^(1-$F57)</f>
        <v>3.1</v>
      </c>
      <c r="K57" s="300">
        <f ca="1">$E57*('Cost Input'!$K$23/K$34)^(1-$F57)</f>
        <v>3.1</v>
      </c>
      <c r="L57" s="300">
        <f ca="1">$E57*('Cost Input'!$K$23/L$34)^(1-$F57)</f>
        <v>3.1</v>
      </c>
      <c r="M57" s="300">
        <f ca="1">$E57*('Cost Input'!$K$23/M$34)^(1-$F57)</f>
        <v>3.1</v>
      </c>
      <c r="U57" s="256"/>
      <c r="Y57" s="300"/>
    </row>
    <row r="58" spans="1:25">
      <c r="B58" s="255" t="s">
        <v>42</v>
      </c>
      <c r="D58" s="256"/>
      <c r="E58" s="299"/>
      <c r="F58" s="299"/>
      <c r="G58" s="301"/>
      <c r="H58" s="301"/>
      <c r="I58" s="301"/>
      <c r="J58" s="301"/>
      <c r="K58" s="301"/>
      <c r="L58" s="301"/>
      <c r="M58" s="301"/>
      <c r="U58" s="256"/>
      <c r="Y58" s="300"/>
    </row>
    <row r="59" spans="1:25">
      <c r="B59" s="746" t="str">
        <f t="shared" si="19"/>
        <v>Unit Cell Materials Costs: Negative electrode active material, $/kg</v>
      </c>
      <c r="C59" s="753" t="s">
        <v>1337</v>
      </c>
      <c r="D59" s="256"/>
      <c r="E59" s="299">
        <f>'Cost Input'!E21</f>
        <v>0</v>
      </c>
      <c r="F59" s="299">
        <f>'Cost Input'!F21</f>
        <v>0.95</v>
      </c>
      <c r="G59" s="300">
        <f ca="1">$E59*('Cost Input'!$K$24/G$39)^(1-$F59)</f>
        <v>0</v>
      </c>
      <c r="H59" s="300">
        <f ca="1">$E59*('Cost Input'!$K$24/H$39)^(1-$F59)</f>
        <v>0</v>
      </c>
      <c r="I59" s="300">
        <f ca="1">$E59*('Cost Input'!$K$24/I$39)^(1-$F59)</f>
        <v>0</v>
      </c>
      <c r="J59" s="300">
        <f ca="1">$E59*('Cost Input'!$K$24/J$39)^(1-$F59)</f>
        <v>0</v>
      </c>
      <c r="K59" s="300">
        <f ca="1">$E59*('Cost Input'!$K$24/K$39)^(1-$F59)</f>
        <v>0</v>
      </c>
      <c r="L59" s="300">
        <f ca="1">$E59*('Cost Input'!$K$24/L$39)^(1-$F59)</f>
        <v>0</v>
      </c>
      <c r="M59" s="300">
        <f ca="1">$E59*('Cost Input'!$K$24/M$39)^(1-$F59)</f>
        <v>0</v>
      </c>
      <c r="U59" s="256"/>
      <c r="Y59" s="301"/>
    </row>
    <row r="60" spans="1:25">
      <c r="B60" s="746" t="str">
        <f t="shared" si="19"/>
        <v>Unit Cell Materials Costs: Negative electrode carbon additive, $/kg</v>
      </c>
      <c r="C60" s="753" t="s">
        <v>1338</v>
      </c>
      <c r="D60" s="256"/>
      <c r="E60" s="299">
        <f>'Cost Input'!E22</f>
        <v>6.6</v>
      </c>
      <c r="F60" s="299">
        <f>'Cost Input'!F22</f>
        <v>1</v>
      </c>
      <c r="G60" s="300">
        <f ca="1">$E60*('Cost Input'!$K$24/G$39)^(1-$F60)</f>
        <v>6.6</v>
      </c>
      <c r="H60" s="300">
        <f ca="1">$E60*('Cost Input'!$K$24/H$39)^(1-$F60)</f>
        <v>6.6</v>
      </c>
      <c r="I60" s="300">
        <f ca="1">$E60*('Cost Input'!$K$24/I$39)^(1-$F60)</f>
        <v>6.6</v>
      </c>
      <c r="J60" s="300">
        <f ca="1">$E60*('Cost Input'!$K$24/J$39)^(1-$F60)</f>
        <v>6.6</v>
      </c>
      <c r="K60" s="300">
        <f ca="1">$E60*('Cost Input'!$K$24/K$39)^(1-$F60)</f>
        <v>6.6</v>
      </c>
      <c r="L60" s="300">
        <f ca="1">$E60*('Cost Input'!$K$24/L$39)^(1-$F60)</f>
        <v>6.6</v>
      </c>
      <c r="M60" s="300">
        <f ca="1">$E60*('Cost Input'!$K$24/M$39)^(1-$F60)</f>
        <v>6.6</v>
      </c>
      <c r="U60" s="256"/>
      <c r="Y60" s="300"/>
    </row>
    <row r="61" spans="1:25">
      <c r="B61" s="746" t="str">
        <f t="shared" si="19"/>
        <v>Unit Cell Materials Costs: Negative electrode binder, $/kg</v>
      </c>
      <c r="C61" s="753" t="s">
        <v>1339</v>
      </c>
      <c r="D61" s="256"/>
      <c r="E61" s="299">
        <f>'Cost Input'!E23</f>
        <v>10</v>
      </c>
      <c r="F61" s="299">
        <f>'Cost Input'!F23</f>
        <v>1</v>
      </c>
      <c r="G61" s="300">
        <f ca="1">$E61*('Cost Input'!$K$24/G$39)^(1-$F61)</f>
        <v>10</v>
      </c>
      <c r="H61" s="300">
        <f ca="1">$E61*('Cost Input'!$K$24/H$39)^(1-$F61)</f>
        <v>10</v>
      </c>
      <c r="I61" s="300">
        <f ca="1">$E61*('Cost Input'!$K$24/I$39)^(1-$F61)</f>
        <v>10</v>
      </c>
      <c r="J61" s="300">
        <f ca="1">$E61*('Cost Input'!$K$24/J$39)^(1-$F61)</f>
        <v>10</v>
      </c>
      <c r="K61" s="300">
        <f ca="1">$E61*('Cost Input'!$K$24/K$39)^(1-$F61)</f>
        <v>10</v>
      </c>
      <c r="L61" s="300">
        <f ca="1">$E61*('Cost Input'!$K$24/L$39)^(1-$F61)</f>
        <v>10</v>
      </c>
      <c r="M61" s="300">
        <f ca="1">$E61*('Cost Input'!$K$24/M$39)^(1-$F61)</f>
        <v>10</v>
      </c>
      <c r="U61" s="256"/>
      <c r="Y61" s="300"/>
    </row>
    <row r="62" spans="1:25" ht="15">
      <c r="B62" s="746" t="str">
        <f t="shared" si="19"/>
        <v>Unit Cell Materials Costs: Positive current collector, $/m2</v>
      </c>
      <c r="C62" s="256" t="s">
        <v>234</v>
      </c>
      <c r="D62" s="256"/>
      <c r="E62" s="299">
        <f>'Cost Input'!E25</f>
        <v>0.3</v>
      </c>
      <c r="F62" s="299">
        <f>'Cost Input'!F25</f>
        <v>1</v>
      </c>
      <c r="G62" s="300">
        <f ca="1">$E62*('Cost Input'!$K$22/G$9)^(1-$F62)</f>
        <v>0.3</v>
      </c>
      <c r="H62" s="300">
        <f ca="1">$E62*('Cost Input'!$K$22/H$9)^(1-$F62)</f>
        <v>0.3</v>
      </c>
      <c r="I62" s="300">
        <f ca="1">$E62*('Cost Input'!$K$22/I$9)^(1-$F62)</f>
        <v>0.3</v>
      </c>
      <c r="J62" s="300">
        <f ca="1">$E62*('Cost Input'!$K$22/J$9)^(1-$F62)</f>
        <v>0.3</v>
      </c>
      <c r="K62" s="300">
        <f ca="1">$E62*('Cost Input'!$K$22/K$9)^(1-$F62)</f>
        <v>0.3</v>
      </c>
      <c r="L62" s="300">
        <f ca="1">$E62*('Cost Input'!$K$22/L$9)^(1-$F62)</f>
        <v>0.3</v>
      </c>
      <c r="M62" s="300">
        <f ca="1">$E62*('Cost Input'!$K$22/M$9)^(1-$F62)</f>
        <v>0.3</v>
      </c>
      <c r="U62" s="256"/>
      <c r="Y62" s="300"/>
    </row>
    <row r="63" spans="1:25" ht="15">
      <c r="B63" s="746" t="str">
        <f t="shared" si="19"/>
        <v>Unit Cell Materials Costs: Negative current collector, $/m2</v>
      </c>
      <c r="C63" s="256" t="s">
        <v>235</v>
      </c>
      <c r="D63" s="256"/>
      <c r="E63" s="299">
        <f>'Cost Input'!E26</f>
        <v>1.2</v>
      </c>
      <c r="F63" s="299">
        <f>'Cost Input'!F26</f>
        <v>1</v>
      </c>
      <c r="G63" s="300">
        <f ca="1">$E63*('Cost Input'!$K$22/G$9)^(1-$F63)</f>
        <v>1.2</v>
      </c>
      <c r="H63" s="300">
        <f ca="1">$E63*('Cost Input'!$K$22/H$9)^(1-$F63)</f>
        <v>1.2</v>
      </c>
      <c r="I63" s="300">
        <f ca="1">$E63*('Cost Input'!$K$22/I$9)^(1-$F63)</f>
        <v>1.2</v>
      </c>
      <c r="J63" s="300">
        <f ca="1">$E63*('Cost Input'!$K$22/J$9)^(1-$F63)</f>
        <v>1.2</v>
      </c>
      <c r="K63" s="300">
        <f ca="1">$E63*('Cost Input'!$K$22/K$9)^(1-$F63)</f>
        <v>1.2</v>
      </c>
      <c r="L63" s="300">
        <f ca="1">$E63*('Cost Input'!$K$22/L$9)^(1-$F63)</f>
        <v>1.2</v>
      </c>
      <c r="M63" s="300">
        <f ca="1">$E63*('Cost Input'!$K$22/M$9)^(1-$F63)</f>
        <v>1.2</v>
      </c>
      <c r="U63" s="256"/>
      <c r="Y63" s="300"/>
    </row>
    <row r="64" spans="1:25" ht="15">
      <c r="B64" s="746" t="str">
        <f t="shared" si="19"/>
        <v>Unit Cell Materials Costs: Separators, $/m2</v>
      </c>
      <c r="C64" s="256" t="s">
        <v>45</v>
      </c>
      <c r="D64" s="256"/>
      <c r="E64" s="299">
        <f>'Cost Input'!E27</f>
        <v>10</v>
      </c>
      <c r="F64" s="299">
        <f>'Cost Input'!F27</f>
        <v>1</v>
      </c>
      <c r="G64" s="300">
        <f ca="1">$E64*('Cost Input'!$K$22/G$9)^(1-$F64)</f>
        <v>10</v>
      </c>
      <c r="H64" s="300">
        <f ca="1">$E64*('Cost Input'!$K$22/H$9)^(1-$F64)</f>
        <v>10</v>
      </c>
      <c r="I64" s="300">
        <f ca="1">$E64*('Cost Input'!$K$22/I$9)^(1-$F64)</f>
        <v>10</v>
      </c>
      <c r="J64" s="300">
        <f ca="1">$E64*('Cost Input'!$K$22/J$9)^(1-$F64)</f>
        <v>10</v>
      </c>
      <c r="K64" s="300">
        <f ca="1">$E64*('Cost Input'!$K$22/K$9)^(1-$F64)</f>
        <v>10</v>
      </c>
      <c r="L64" s="300">
        <f ca="1">$E64*('Cost Input'!$K$22/L$9)^(1-$F64)</f>
        <v>10</v>
      </c>
      <c r="M64" s="300">
        <f ca="1">$E64*('Cost Input'!$K$22/M$9)^(1-$F64)</f>
        <v>10</v>
      </c>
      <c r="U64" s="256"/>
      <c r="Y64" s="300"/>
    </row>
    <row r="65" spans="2:25">
      <c r="B65" s="746" t="str">
        <f t="shared" si="19"/>
        <v>Unit Cell Materials Costs: Electrolyte, $/L</v>
      </c>
      <c r="C65" s="256" t="s">
        <v>46</v>
      </c>
      <c r="D65" s="256"/>
      <c r="E65" s="299">
        <f>'Cost Input'!E28</f>
        <v>15</v>
      </c>
      <c r="F65" s="299">
        <f>'Cost Input'!F28</f>
        <v>1</v>
      </c>
      <c r="G65" s="300">
        <f t="shared" ref="G65:M65" si="20">IF($F65=1,$E65)</f>
        <v>15</v>
      </c>
      <c r="H65" s="300">
        <f t="shared" si="20"/>
        <v>15</v>
      </c>
      <c r="I65" s="300">
        <f t="shared" si="20"/>
        <v>15</v>
      </c>
      <c r="J65" s="300">
        <f t="shared" si="20"/>
        <v>15</v>
      </c>
      <c r="K65" s="300">
        <f t="shared" si="20"/>
        <v>15</v>
      </c>
      <c r="L65" s="300">
        <f t="shared" si="20"/>
        <v>15</v>
      </c>
      <c r="M65" s="300">
        <f t="shared" si="20"/>
        <v>15</v>
      </c>
      <c r="U65" s="256"/>
      <c r="Y65" s="300"/>
    </row>
    <row r="66" spans="2:25">
      <c r="B66" s="255" t="s">
        <v>383</v>
      </c>
      <c r="D66" s="256"/>
      <c r="E66" s="299"/>
      <c r="F66" s="185"/>
      <c r="G66" s="301"/>
      <c r="H66" s="301"/>
      <c r="I66" s="301"/>
      <c r="J66" s="301"/>
      <c r="K66" s="301"/>
      <c r="L66" s="301"/>
      <c r="M66" s="301"/>
      <c r="U66" s="256"/>
      <c r="Y66" s="300"/>
    </row>
    <row r="67" spans="2:25">
      <c r="B67" s="746" t="str">
        <f t="shared" si="19"/>
        <v>Unit Cell Materials Costs: Hardware Costs: Positive terminal assembly $/unit</v>
      </c>
      <c r="C67" s="17" t="s">
        <v>986</v>
      </c>
      <c r="D67" s="17"/>
      <c r="E67" s="257"/>
      <c r="F67" s="185"/>
      <c r="G67" s="300">
        <f ca="1">'Battery Design'!G25/1000*'Cost Input'!$D34+'Cost Input'!$E34</f>
        <v>0.28745836430348287</v>
      </c>
      <c r="H67" s="300">
        <f ca="1">'Battery Design'!H25/1000*'Cost Input'!$D34+'Cost Input'!$E34</f>
        <v>0.28745836430348287</v>
      </c>
      <c r="I67" s="300">
        <f ca="1">'Battery Design'!I25/1000*'Cost Input'!$D34+'Cost Input'!$E34</f>
        <v>0.28745836430348287</v>
      </c>
      <c r="J67" s="300">
        <f ca="1">'Battery Design'!J25/1000*'Cost Input'!$D34+'Cost Input'!$E34</f>
        <v>0.28745836430348287</v>
      </c>
      <c r="K67" s="300">
        <f ca="1">'Battery Design'!K25/1000*'Cost Input'!$D34+'Cost Input'!$E34</f>
        <v>0.28745836430348287</v>
      </c>
      <c r="L67" s="300">
        <f ca="1">'Battery Design'!L25/1000*'Cost Input'!$D34+'Cost Input'!$E34</f>
        <v>0.28745836430348287</v>
      </c>
      <c r="M67" s="300">
        <f ca="1">'Battery Design'!M25/1000*'Cost Input'!$D34+'Cost Input'!$E34</f>
        <v>0.28745836430348287</v>
      </c>
      <c r="U67" s="256"/>
      <c r="Y67" s="301"/>
    </row>
    <row r="68" spans="2:25">
      <c r="B68" s="746" t="str">
        <f t="shared" si="19"/>
        <v>Unit Cell Materials Costs: Hardware Costs: Negative terminal assembly $/unit</v>
      </c>
      <c r="C68" s="17" t="s">
        <v>987</v>
      </c>
      <c r="D68" s="17"/>
      <c r="E68" s="257"/>
      <c r="F68" s="185"/>
      <c r="G68" s="300">
        <f ca="1">'Battery Design'!G26/1000*'Cost Input'!$D35+'Cost Input'!$E35</f>
        <v>0.43645941342178146</v>
      </c>
      <c r="H68" s="300">
        <f ca="1">'Battery Design'!H26/1000*'Cost Input'!$D35+'Cost Input'!$E35</f>
        <v>0.43645941342178146</v>
      </c>
      <c r="I68" s="300">
        <f ca="1">'Battery Design'!I26/1000*'Cost Input'!$D35+'Cost Input'!$E35</f>
        <v>0.43645941342178146</v>
      </c>
      <c r="J68" s="300">
        <f ca="1">'Battery Design'!J26/1000*'Cost Input'!$D35+'Cost Input'!$E35</f>
        <v>0.43645941342178146</v>
      </c>
      <c r="K68" s="300">
        <f ca="1">'Battery Design'!K26/1000*'Cost Input'!$D35+'Cost Input'!$E35</f>
        <v>0.43645941342178146</v>
      </c>
      <c r="L68" s="300">
        <f ca="1">'Battery Design'!L26/1000*'Cost Input'!$D35+'Cost Input'!$E35</f>
        <v>0.43645941342178146</v>
      </c>
      <c r="M68" s="300">
        <f ca="1">'Battery Design'!M26/1000*'Cost Input'!$D35+'Cost Input'!$E35</f>
        <v>0.43645941342178146</v>
      </c>
      <c r="U68" s="17"/>
      <c r="Y68" s="300"/>
    </row>
    <row r="69" spans="2:25">
      <c r="B69" s="746" t="str">
        <f t="shared" si="19"/>
        <v>Unit Cell Materials Costs: Hardware Costs: Cell container $/unit</v>
      </c>
      <c r="C69" s="17" t="s">
        <v>988</v>
      </c>
      <c r="D69" s="17"/>
      <c r="E69" s="257"/>
      <c r="F69" s="185"/>
      <c r="G69" s="300">
        <f ca="1">'Battery Design'!G30/1000*'Cost Input'!$D36+'Cost Input'!$E36</f>
        <v>0.26341009889389871</v>
      </c>
      <c r="H69" s="300">
        <f ca="1">'Battery Design'!H30/1000*'Cost Input'!$D36+'Cost Input'!$E36</f>
        <v>0.26341009889389871</v>
      </c>
      <c r="I69" s="300">
        <f ca="1">'Battery Design'!I30/1000*'Cost Input'!$D36+'Cost Input'!$E36</f>
        <v>0.26341009889389871</v>
      </c>
      <c r="J69" s="300">
        <f ca="1">'Battery Design'!J30/1000*'Cost Input'!$D36+'Cost Input'!$E36</f>
        <v>0.26341009889389871</v>
      </c>
      <c r="K69" s="300">
        <f ca="1">'Battery Design'!K30/1000*'Cost Input'!$D36+'Cost Input'!$E36</f>
        <v>0.26341009889389871</v>
      </c>
      <c r="L69" s="300">
        <f ca="1">'Battery Design'!L30/1000*'Cost Input'!$D36+'Cost Input'!$E36</f>
        <v>0.26341009889389871</v>
      </c>
      <c r="M69" s="300">
        <f ca="1">'Battery Design'!M30/1000*'Cost Input'!$D36+'Cost Input'!$E36</f>
        <v>0.26341009889389871</v>
      </c>
      <c r="U69" s="17"/>
      <c r="Y69" s="300"/>
    </row>
    <row r="70" spans="2:25" ht="14">
      <c r="B70" s="164" t="s">
        <v>532</v>
      </c>
      <c r="C70" s="255"/>
      <c r="D70" s="255"/>
      <c r="E70" s="299"/>
      <c r="F70" s="185"/>
      <c r="G70" s="301"/>
      <c r="H70" s="301"/>
      <c r="I70" s="301"/>
      <c r="J70" s="301"/>
      <c r="K70" s="301"/>
      <c r="L70" s="301"/>
      <c r="M70" s="301"/>
      <c r="U70" s="17"/>
      <c r="Y70" s="300"/>
    </row>
    <row r="71" spans="2:25" ht="14">
      <c r="B71" s="255" t="s">
        <v>92</v>
      </c>
      <c r="D71" s="256"/>
      <c r="E71" s="299"/>
      <c r="F71" s="185"/>
      <c r="G71" s="301"/>
      <c r="H71" s="301"/>
      <c r="I71" s="301"/>
      <c r="J71" s="301"/>
      <c r="K71" s="301"/>
      <c r="L71" s="301"/>
      <c r="M71" s="301"/>
      <c r="U71" s="164"/>
      <c r="Y71" s="301"/>
    </row>
    <row r="72" spans="2:25">
      <c r="B72" s="746" t="str">
        <f t="shared" ref="B72:B88" si="21">$B$70 &amp; ": " &amp; C72</f>
        <v>Cell Materials Cost, $/cell: Positive electrode active material, $/cell</v>
      </c>
      <c r="C72" s="753" t="s">
        <v>1305</v>
      </c>
      <c r="D72" s="753"/>
      <c r="E72" s="299"/>
      <c r="F72" s="185"/>
      <c r="G72" s="302">
        <f t="shared" ref="G72:K74" ca="1" si="22">G54*G17/1000</f>
        <v>6.0069072688580096</v>
      </c>
      <c r="H72" s="302">
        <f t="shared" ca="1" si="22"/>
        <v>4.4519259095416022</v>
      </c>
      <c r="I72" s="302">
        <f t="shared" ca="1" si="22"/>
        <v>4.2750264110899074</v>
      </c>
      <c r="J72" s="302">
        <f t="shared" ca="1" si="22"/>
        <v>4.1537937494798234</v>
      </c>
      <c r="K72" s="302">
        <f t="shared" ca="1" si="22"/>
        <v>4.0621310213851141</v>
      </c>
      <c r="L72" s="302">
        <f t="shared" ref="L72:M74" ca="1" si="23">L54*L17/1000</f>
        <v>3.9007202174029603</v>
      </c>
      <c r="M72" s="302">
        <f t="shared" ca="1" si="23"/>
        <v>3.7901022588974205</v>
      </c>
      <c r="N72" s="853" t="s">
        <v>1561</v>
      </c>
      <c r="U72" s="256"/>
      <c r="Y72" s="301"/>
    </row>
    <row r="73" spans="2:25">
      <c r="B73" s="746" t="str">
        <f t="shared" si="21"/>
        <v>Cell Materials Cost, $/cell: Positive electrode carbon additive, $/cell</v>
      </c>
      <c r="C73" s="753" t="s">
        <v>1306</v>
      </c>
      <c r="D73" s="753"/>
      <c r="E73" s="299"/>
      <c r="F73" s="185"/>
      <c r="G73" s="302">
        <f t="shared" ca="1" si="22"/>
        <v>8.0950683779691598E-2</v>
      </c>
      <c r="H73" s="302">
        <f t="shared" ca="1" si="22"/>
        <v>8.0950683779691598E-2</v>
      </c>
      <c r="I73" s="302">
        <f t="shared" ca="1" si="22"/>
        <v>8.0950683779691598E-2</v>
      </c>
      <c r="J73" s="302">
        <f t="shared" ca="1" si="22"/>
        <v>8.0950683779691598E-2</v>
      </c>
      <c r="K73" s="302">
        <f t="shared" ca="1" si="22"/>
        <v>8.0950683779691598E-2</v>
      </c>
      <c r="L73" s="302">
        <f t="shared" ca="1" si="23"/>
        <v>8.0950683779691598E-2</v>
      </c>
      <c r="M73" s="302">
        <f t="shared" ca="1" si="23"/>
        <v>8.0950683779691598E-2</v>
      </c>
      <c r="N73" s="853" t="s">
        <v>1561</v>
      </c>
      <c r="U73" s="256"/>
      <c r="Y73" s="302"/>
    </row>
    <row r="74" spans="2:25">
      <c r="B74" s="746" t="str">
        <f t="shared" si="21"/>
        <v>Cell Materials Cost, $/cell: Positive electrode binder, $/cell</v>
      </c>
      <c r="C74" s="753" t="s">
        <v>1304</v>
      </c>
      <c r="D74" s="753"/>
      <c r="E74" s="299"/>
      <c r="F74" s="185"/>
      <c r="G74" s="302">
        <f t="shared" ca="1" si="22"/>
        <v>0.11651992362228339</v>
      </c>
      <c r="H74" s="302">
        <f t="shared" ca="1" si="22"/>
        <v>0.11651992362228339</v>
      </c>
      <c r="I74" s="302">
        <f t="shared" ca="1" si="22"/>
        <v>0.11651992362228339</v>
      </c>
      <c r="J74" s="302">
        <f t="shared" ca="1" si="22"/>
        <v>0.11651992362228339</v>
      </c>
      <c r="K74" s="302">
        <f t="shared" ca="1" si="22"/>
        <v>0.11651992362228339</v>
      </c>
      <c r="L74" s="302">
        <f t="shared" ca="1" si="23"/>
        <v>0.11651992362228339</v>
      </c>
      <c r="M74" s="302">
        <f t="shared" ca="1" si="23"/>
        <v>0.11651992362228339</v>
      </c>
      <c r="N74" s="853" t="s">
        <v>1561</v>
      </c>
      <c r="U74" s="256"/>
      <c r="Y74" s="302"/>
    </row>
    <row r="75" spans="2:25">
      <c r="B75" s="746" t="str">
        <f t="shared" si="21"/>
        <v>Cell Materials Cost, $/cell: Positive electrode binder solvent (NMP), $/cell</v>
      </c>
      <c r="C75" s="753" t="s">
        <v>1307</v>
      </c>
      <c r="D75" s="753"/>
      <c r="E75" s="299"/>
      <c r="F75" s="185"/>
      <c r="G75" s="302">
        <f ca="1">G57*G20/1000*(1-'Cost Input'!$F13/100)</f>
        <v>4.5626749039462582E-3</v>
      </c>
      <c r="H75" s="302">
        <f ca="1">H57*H20/1000*(1-'Cost Input'!$F13/100)</f>
        <v>4.5626749039462582E-3</v>
      </c>
      <c r="I75" s="302">
        <f ca="1">I57*I20/1000*(1-'Cost Input'!$F13/100)</f>
        <v>4.5626749039462582E-3</v>
      </c>
      <c r="J75" s="302">
        <f ca="1">J57*J20/1000*(1-'Cost Input'!$F13/100)</f>
        <v>4.5626749039462582E-3</v>
      </c>
      <c r="K75" s="302">
        <f ca="1">K57*K20/1000*(1-'Cost Input'!$F13/100)</f>
        <v>4.5626749039462582E-3</v>
      </c>
      <c r="L75" s="302">
        <f ca="1">L57*L20/1000*(1-'Cost Input'!$F13/100)</f>
        <v>4.5626749039462582E-3</v>
      </c>
      <c r="M75" s="302">
        <f ca="1">M57*M20/1000*(1-'Cost Input'!$F13/100)</f>
        <v>4.5626749039462582E-3</v>
      </c>
      <c r="N75" s="853" t="s">
        <v>1561</v>
      </c>
      <c r="U75" s="256"/>
      <c r="Y75" s="302"/>
    </row>
    <row r="76" spans="2:25">
      <c r="B76" s="255" t="s">
        <v>93</v>
      </c>
      <c r="D76" s="256"/>
      <c r="E76" s="299"/>
      <c r="F76" s="185"/>
      <c r="G76" s="302"/>
      <c r="H76" s="302"/>
      <c r="I76" s="302"/>
      <c r="J76" s="302"/>
      <c r="K76" s="302"/>
      <c r="L76" s="302"/>
      <c r="M76" s="302"/>
      <c r="N76" s="853" t="s">
        <v>1561</v>
      </c>
      <c r="U76" s="256"/>
      <c r="Y76" s="302"/>
    </row>
    <row r="77" spans="2:25">
      <c r="B77" s="746" t="str">
        <f t="shared" si="21"/>
        <v>Cell Materials Cost, $/cell: Negative electrode active material, $/cell</v>
      </c>
      <c r="C77" s="753" t="s">
        <v>1309</v>
      </c>
      <c r="D77" s="256"/>
      <c r="E77" s="299"/>
      <c r="F77" s="185"/>
      <c r="G77" s="302">
        <f t="shared" ref="G77:K79" ca="1" si="24">G59*G23/1000</f>
        <v>0</v>
      </c>
      <c r="H77" s="302">
        <f t="shared" ca="1" si="24"/>
        <v>0</v>
      </c>
      <c r="I77" s="302">
        <f t="shared" ca="1" si="24"/>
        <v>0</v>
      </c>
      <c r="J77" s="302">
        <f t="shared" ca="1" si="24"/>
        <v>0</v>
      </c>
      <c r="K77" s="302">
        <f t="shared" ca="1" si="24"/>
        <v>0</v>
      </c>
      <c r="L77" s="302">
        <f t="shared" ref="L77:M79" ca="1" si="25">L59*L23/1000</f>
        <v>0</v>
      </c>
      <c r="M77" s="302">
        <f t="shared" ca="1" si="25"/>
        <v>0</v>
      </c>
      <c r="N77" s="853" t="s">
        <v>1561</v>
      </c>
      <c r="U77" s="256"/>
      <c r="Y77" s="302"/>
    </row>
    <row r="78" spans="2:25">
      <c r="B78" s="746" t="str">
        <f t="shared" si="21"/>
        <v>Cell Materials Cost, $/cell: Negative electrode carbon additive, $/cell</v>
      </c>
      <c r="C78" s="753" t="s">
        <v>1308</v>
      </c>
      <c r="D78" s="256"/>
      <c r="E78" s="299"/>
      <c r="F78" s="185"/>
      <c r="G78" s="302">
        <f t="shared" ca="1" si="24"/>
        <v>0</v>
      </c>
      <c r="H78" s="302">
        <f t="shared" ca="1" si="24"/>
        <v>0</v>
      </c>
      <c r="I78" s="302">
        <f t="shared" ca="1" si="24"/>
        <v>0</v>
      </c>
      <c r="J78" s="302">
        <f t="shared" ca="1" si="24"/>
        <v>0</v>
      </c>
      <c r="K78" s="302">
        <f t="shared" ca="1" si="24"/>
        <v>0</v>
      </c>
      <c r="L78" s="302">
        <f t="shared" ca="1" si="25"/>
        <v>0</v>
      </c>
      <c r="M78" s="302">
        <f t="shared" ca="1" si="25"/>
        <v>0</v>
      </c>
      <c r="N78" s="853" t="s">
        <v>1561</v>
      </c>
      <c r="U78" s="256"/>
      <c r="Y78" s="302"/>
    </row>
    <row r="79" spans="2:25">
      <c r="B79" s="746" t="str">
        <f t="shared" si="21"/>
        <v>Cell Materials Cost, $/cell: Negative electrode Binder , $/cell</v>
      </c>
      <c r="C79" s="753" t="s">
        <v>1303</v>
      </c>
      <c r="D79" s="256"/>
      <c r="E79" s="299"/>
      <c r="F79" s="185"/>
      <c r="G79" s="302">
        <f t="shared" ca="1" si="24"/>
        <v>0</v>
      </c>
      <c r="H79" s="302">
        <f t="shared" ca="1" si="24"/>
        <v>0</v>
      </c>
      <c r="I79" s="302">
        <f t="shared" ca="1" si="24"/>
        <v>0</v>
      </c>
      <c r="J79" s="302">
        <f t="shared" ca="1" si="24"/>
        <v>0</v>
      </c>
      <c r="K79" s="302">
        <f t="shared" ca="1" si="24"/>
        <v>0</v>
      </c>
      <c r="L79" s="302">
        <f t="shared" ca="1" si="25"/>
        <v>0</v>
      </c>
      <c r="M79" s="302">
        <f t="shared" ca="1" si="25"/>
        <v>0</v>
      </c>
      <c r="N79" s="853" t="s">
        <v>1561</v>
      </c>
      <c r="U79" s="256"/>
      <c r="Y79" s="302"/>
    </row>
    <row r="80" spans="2:25">
      <c r="B80" s="746" t="str">
        <f t="shared" si="21"/>
        <v>Cell Materials Cost, $/cell: Positive current collector, $/cell</v>
      </c>
      <c r="C80" s="256" t="s">
        <v>1310</v>
      </c>
      <c r="D80" s="256"/>
      <c r="E80" s="299"/>
      <c r="F80" s="185"/>
      <c r="G80" s="302">
        <f t="shared" ref="G80:K83" ca="1" si="26">G62*G28</f>
        <v>0.35190006228506698</v>
      </c>
      <c r="H80" s="302">
        <f t="shared" ca="1" si="26"/>
        <v>0.35190006228506698</v>
      </c>
      <c r="I80" s="302">
        <f t="shared" ca="1" si="26"/>
        <v>0.35190006228506698</v>
      </c>
      <c r="J80" s="302">
        <f t="shared" ca="1" si="26"/>
        <v>0.35190006228506698</v>
      </c>
      <c r="K80" s="302">
        <f t="shared" ca="1" si="26"/>
        <v>0.35190006228506698</v>
      </c>
      <c r="L80" s="302">
        <f t="shared" ref="L80:M83" ca="1" si="27">L62*L28</f>
        <v>0.35190006228506698</v>
      </c>
      <c r="M80" s="302">
        <f t="shared" ca="1" si="27"/>
        <v>0.35190006228506698</v>
      </c>
      <c r="N80" s="853" t="s">
        <v>1561</v>
      </c>
      <c r="U80" s="256"/>
      <c r="Y80" s="302"/>
    </row>
    <row r="81" spans="2:25">
      <c r="B81" s="746" t="str">
        <f t="shared" si="21"/>
        <v>Cell Materials Cost, $/cell: Negative current collector, $/cell</v>
      </c>
      <c r="C81" s="256" t="s">
        <v>1311</v>
      </c>
      <c r="D81" s="256"/>
      <c r="E81" s="299"/>
      <c r="F81" s="185"/>
      <c r="G81" s="302">
        <f t="shared" ca="1" si="26"/>
        <v>1.4842186783558351</v>
      </c>
      <c r="H81" s="302">
        <f t="shared" ca="1" si="26"/>
        <v>1.4842186783558351</v>
      </c>
      <c r="I81" s="302">
        <f t="shared" ca="1" si="26"/>
        <v>1.4842186783558351</v>
      </c>
      <c r="J81" s="302">
        <f t="shared" ca="1" si="26"/>
        <v>1.4842186783558351</v>
      </c>
      <c r="K81" s="302">
        <f t="shared" ca="1" si="26"/>
        <v>1.4842186783558351</v>
      </c>
      <c r="L81" s="302">
        <f t="shared" ca="1" si="27"/>
        <v>1.4842186783558351</v>
      </c>
      <c r="M81" s="302">
        <f t="shared" ca="1" si="27"/>
        <v>1.4842186783558351</v>
      </c>
      <c r="N81" s="853" t="s">
        <v>1561</v>
      </c>
      <c r="U81" s="256"/>
      <c r="Y81" s="302"/>
    </row>
    <row r="82" spans="2:25">
      <c r="B82" s="746" t="str">
        <f t="shared" si="21"/>
        <v>Cell Materials Cost, $/cell: Separators, $/cell</v>
      </c>
      <c r="C82" s="256" t="s">
        <v>1312</v>
      </c>
      <c r="D82" s="256"/>
      <c r="E82" s="299"/>
      <c r="F82" s="185"/>
      <c r="G82" s="302">
        <f t="shared" ca="1" si="26"/>
        <v>20.786407015618934</v>
      </c>
      <c r="H82" s="302">
        <f t="shared" ca="1" si="26"/>
        <v>20.786407015618934</v>
      </c>
      <c r="I82" s="302">
        <f t="shared" ca="1" si="26"/>
        <v>20.786407015618934</v>
      </c>
      <c r="J82" s="302">
        <f t="shared" ca="1" si="26"/>
        <v>20.786407015618934</v>
      </c>
      <c r="K82" s="302">
        <f t="shared" ca="1" si="26"/>
        <v>20.786407015618934</v>
      </c>
      <c r="L82" s="302">
        <f t="shared" ca="1" si="27"/>
        <v>20.786407015618934</v>
      </c>
      <c r="M82" s="302">
        <f t="shared" ca="1" si="27"/>
        <v>20.786407015618934</v>
      </c>
      <c r="N82" s="853" t="s">
        <v>1561</v>
      </c>
      <c r="U82" s="256"/>
      <c r="Y82" s="302"/>
    </row>
    <row r="83" spans="2:25">
      <c r="B83" s="746" t="str">
        <f t="shared" si="21"/>
        <v>Cell Materials Cost, $/cell: Electrolyte, $/cell</v>
      </c>
      <c r="C83" s="256" t="s">
        <v>1313</v>
      </c>
      <c r="D83" s="256"/>
      <c r="E83" s="299"/>
      <c r="F83" s="57"/>
      <c r="G83" s="302">
        <f t="shared" ca="1" si="26"/>
        <v>1.4600069801814415</v>
      </c>
      <c r="H83" s="302">
        <f t="shared" ca="1" si="26"/>
        <v>1.4600069801814415</v>
      </c>
      <c r="I83" s="302">
        <f t="shared" ca="1" si="26"/>
        <v>1.4600069801814415</v>
      </c>
      <c r="J83" s="302">
        <f t="shared" ca="1" si="26"/>
        <v>1.4600069801814415</v>
      </c>
      <c r="K83" s="302">
        <f t="shared" ca="1" si="26"/>
        <v>1.4600069801814415</v>
      </c>
      <c r="L83" s="302">
        <f t="shared" ca="1" si="27"/>
        <v>1.4600069801814415</v>
      </c>
      <c r="M83" s="302">
        <f t="shared" ca="1" si="27"/>
        <v>1.4600069801814415</v>
      </c>
      <c r="N83" s="853" t="s">
        <v>1561</v>
      </c>
      <c r="U83" s="256"/>
      <c r="Y83" s="302"/>
    </row>
    <row r="84" spans="2:25">
      <c r="B84" s="746" t="str">
        <f t="shared" si="21"/>
        <v>Cell Materials Cost, $/cell: Positive terminal assembly, $/unit</v>
      </c>
      <c r="C84" s="17" t="s">
        <v>98</v>
      </c>
      <c r="D84" s="17"/>
      <c r="E84" s="299"/>
      <c r="F84" s="25">
        <f>'Cost Input'!F34</f>
        <v>0.8</v>
      </c>
      <c r="G84" s="302">
        <f ca="1">G67*('Cost Input'!$K21/G46)^(1-$F84)</f>
        <v>0.65193635570569708</v>
      </c>
      <c r="H84" s="302">
        <f ca="1">H67*('Cost Input'!$K21/H46)^(1-$F84)</f>
        <v>0.3580957785625305</v>
      </c>
      <c r="I84" s="302">
        <f ca="1">I67*('Cost Input'!$K21/I46)^(1-$F84)</f>
        <v>0.33020295048071829</v>
      </c>
      <c r="J84" s="302">
        <f ca="1">J67*('Cost Input'!$K21/J46)^(1-$F84)</f>
        <v>0.31174048174157509</v>
      </c>
      <c r="K84" s="302">
        <f ca="1">K67*('Cost Input'!$K21/K46)^(1-$F84)</f>
        <v>0.2981337889993057</v>
      </c>
      <c r="L84" s="302">
        <f ca="1">L67*('Cost Input'!$K21/L46)^(1-$F84)</f>
        <v>0.27491152551628389</v>
      </c>
      <c r="M84" s="302">
        <f ca="1">M67*('Cost Input'!$K21/M46)^(1-$F84)</f>
        <v>0.25954053795095344</v>
      </c>
      <c r="N84" s="853" t="s">
        <v>1561</v>
      </c>
      <c r="U84" s="256"/>
      <c r="Y84" s="302"/>
    </row>
    <row r="85" spans="2:25">
      <c r="B85" s="746" t="str">
        <f t="shared" si="21"/>
        <v>Cell Materials Cost, $/cell: Negative terminal assembly, $/unit</v>
      </c>
      <c r="C85" s="17" t="s">
        <v>99</v>
      </c>
      <c r="D85" s="17"/>
      <c r="E85" s="299"/>
      <c r="F85" s="25">
        <f>'Cost Input'!F35</f>
        <v>0.8</v>
      </c>
      <c r="G85" s="302">
        <f ca="1">G68*('Cost Input'!$K21/G47)^(1-$F85)</f>
        <v>0.98986077545211604</v>
      </c>
      <c r="H85" s="302">
        <f ca="1">H68*('Cost Input'!$K21/H47)^(1-$F85)</f>
        <v>0.54371099563904579</v>
      </c>
      <c r="I85" s="302">
        <f ca="1">I68*('Cost Input'!$K21/I47)^(1-$F85)</f>
        <v>0.50136021063837133</v>
      </c>
      <c r="J85" s="302">
        <f ca="1">J68*('Cost Input'!$K21/J47)^(1-$F85)</f>
        <v>0.47332791352386783</v>
      </c>
      <c r="K85" s="302">
        <f ca="1">K68*('Cost Input'!$K21/K47)^(1-$F85)</f>
        <v>0.4526683333189534</v>
      </c>
      <c r="L85" s="302">
        <f ca="1">L68*('Cost Input'!$K21/L47)^(1-$F85)</f>
        <v>0.41740905143065477</v>
      </c>
      <c r="M85" s="302">
        <f ca="1">M68*('Cost Input'!$K21/M47)^(1-$F85)</f>
        <v>0.39407067255713263</v>
      </c>
      <c r="N85" s="853" t="s">
        <v>1561</v>
      </c>
      <c r="U85" s="17"/>
      <c r="Y85" s="302"/>
    </row>
    <row r="86" spans="2:25">
      <c r="B86" s="746" t="str">
        <f t="shared" si="21"/>
        <v>Cell Materials Cost, $/cell: Cell container, $/unit</v>
      </c>
      <c r="C86" s="17" t="s">
        <v>326</v>
      </c>
      <c r="D86" s="17"/>
      <c r="E86" s="299"/>
      <c r="F86" s="25">
        <f>'Cost Input'!F36</f>
        <v>0.8</v>
      </c>
      <c r="G86" s="302">
        <f ca="1">G69*('Cost Input'!$K21/G48)^(1-$F86)</f>
        <v>0.59739649721121357</v>
      </c>
      <c r="H86" s="302">
        <f ca="1">H69*('Cost Input'!$K21/H48)^(1-$F86)</f>
        <v>0.32813811027276119</v>
      </c>
      <c r="I86" s="302">
        <f ca="1">I69*('Cost Input'!$K21/I48)^(1-$F86)</f>
        <v>0.3025787475411767</v>
      </c>
      <c r="J86" s="302">
        <f ca="1">J69*('Cost Input'!$K21/J48)^(1-$F86)</f>
        <v>0.28566081673687793</v>
      </c>
      <c r="K86" s="302">
        <f ca="1">K69*('Cost Input'!$K21/K48)^(1-$F86)</f>
        <v>0.27319243617837685</v>
      </c>
      <c r="L86" s="302">
        <f ca="1">L69*('Cost Input'!$K21/L48)^(1-$F86)</f>
        <v>0.2519129067570483</v>
      </c>
      <c r="M86" s="302">
        <f ca="1">M69*('Cost Input'!$K21/M48)^(1-$F86)</f>
        <v>0.23782782920332646</v>
      </c>
      <c r="N86" s="853" t="s">
        <v>1561</v>
      </c>
      <c r="U86" s="17"/>
      <c r="Y86" s="302"/>
    </row>
    <row r="87" spans="2:25">
      <c r="B87" s="746" t="str">
        <f t="shared" si="21"/>
        <v>Cell Materials Cost, $/cell: Total cost of cell winding materials, $/cell</v>
      </c>
      <c r="C87" s="256" t="s">
        <v>1314</v>
      </c>
      <c r="D87" s="256"/>
      <c r="E87" s="149"/>
      <c r="F87" s="256"/>
      <c r="G87" s="302">
        <f t="shared" ref="G87:L87" ca="1" si="28">SUM(G72:G83)</f>
        <v>30.291473287605207</v>
      </c>
      <c r="H87" s="302">
        <f t="shared" ca="1" si="28"/>
        <v>28.7364919282888</v>
      </c>
      <c r="I87" s="302">
        <f t="shared" ca="1" si="28"/>
        <v>28.559592429837103</v>
      </c>
      <c r="J87" s="302">
        <f t="shared" ca="1" si="28"/>
        <v>28.43835976822702</v>
      </c>
      <c r="K87" s="302">
        <f t="shared" ca="1" si="28"/>
        <v>28.346697040132312</v>
      </c>
      <c r="L87" s="302">
        <f t="shared" ca="1" si="28"/>
        <v>28.185286236150159</v>
      </c>
      <c r="M87" s="302">
        <f ca="1">SUM(M72:M83)</f>
        <v>28.074668277644619</v>
      </c>
      <c r="N87" s="853" t="s">
        <v>1561</v>
      </c>
      <c r="U87" s="17"/>
      <c r="Y87" s="302"/>
    </row>
    <row r="88" spans="2:25">
      <c r="B88" s="746" t="str">
        <f t="shared" si="21"/>
        <v>Cell Materials Cost, $/cell: Total cost of cell materials, $/cell</v>
      </c>
      <c r="C88" s="17" t="s">
        <v>1315</v>
      </c>
      <c r="D88" s="17"/>
      <c r="E88" s="149"/>
      <c r="F88" s="256"/>
      <c r="G88" s="302">
        <f t="shared" ref="G88:L88" ca="1" si="29">SUM(G84:G87)</f>
        <v>32.530666915974237</v>
      </c>
      <c r="H88" s="302">
        <f t="shared" ca="1" si="29"/>
        <v>29.966436812763138</v>
      </c>
      <c r="I88" s="302">
        <f t="shared" ca="1" si="29"/>
        <v>29.693734338497368</v>
      </c>
      <c r="J88" s="302">
        <f t="shared" ca="1" si="29"/>
        <v>29.50908898022934</v>
      </c>
      <c r="K88" s="302">
        <f t="shared" ca="1" si="29"/>
        <v>29.370691598628948</v>
      </c>
      <c r="L88" s="302">
        <f t="shared" ca="1" si="29"/>
        <v>29.129519719854144</v>
      </c>
      <c r="M88" s="302">
        <f ca="1">SUM(M84:M87)</f>
        <v>28.96610731735603</v>
      </c>
      <c r="N88" s="853" t="s">
        <v>1561</v>
      </c>
      <c r="U88" s="256"/>
      <c r="Y88" s="302"/>
    </row>
    <row r="89" spans="2:25" ht="14">
      <c r="B89" s="164" t="s">
        <v>533</v>
      </c>
      <c r="C89" s="255"/>
      <c r="D89" s="255"/>
      <c r="E89" s="149"/>
      <c r="F89" s="256"/>
      <c r="G89" s="302"/>
      <c r="H89" s="302"/>
      <c r="I89" s="302"/>
      <c r="J89" s="302"/>
      <c r="K89" s="302"/>
      <c r="L89" s="302"/>
      <c r="M89" s="302"/>
      <c r="U89" s="17"/>
      <c r="Y89" s="302"/>
    </row>
    <row r="90" spans="2:25" ht="14">
      <c r="B90" s="746" t="str">
        <f>$B$89 &amp; ": " &amp; C90</f>
        <v>Cost of Module Materials and Purchased Items, $/module: Aluminum thermal conductors (each), $/module</v>
      </c>
      <c r="C90" s="96" t="s">
        <v>1295</v>
      </c>
      <c r="D90" s="17"/>
      <c r="E90" s="257"/>
      <c r="F90" s="25">
        <f>'Cost Input'!F37</f>
        <v>0.8</v>
      </c>
      <c r="G90" s="302">
        <f ca="1">('Cost Input'!$K20/G49)^(1-$F90)*('Battery Design'!G136/'Battery Design'!G68*'Cost Input'!$D37/1000+'Cost Input'!$E37)</f>
        <v>0.50871510179791246</v>
      </c>
      <c r="H90" s="302">
        <f ca="1">('Cost Input'!$K20/H49)^(1-$F90)*('Battery Design'!H136/'Battery Design'!H68*'Cost Input'!$D37/1000+'Cost Input'!$E37)</f>
        <v>0.27942716930957084</v>
      </c>
      <c r="I90" s="302">
        <f ca="1">('Cost Input'!$K20/I49)^(1-$F90)*('Battery Design'!I136/'Battery Design'!I68*'Cost Input'!$D37/1000+'Cost Input'!$E37)</f>
        <v>0.25766200350329954</v>
      </c>
      <c r="J90" s="302">
        <f ca="1">('Cost Input'!$K20/J49)^(1-$F90)*('Battery Design'!J136/'Battery Design'!J68*'Cost Input'!$D37/1000+'Cost Input'!$E37)</f>
        <v>0.2432554796426884</v>
      </c>
      <c r="K90" s="302">
        <f ca="1">('Cost Input'!$K20/K49)^(1-$F90)*('Battery Design'!K136/'Battery Design'!K68*'Cost Input'!$D37/1000+'Cost Input'!$E37)</f>
        <v>0.23263798604390953</v>
      </c>
      <c r="L90" s="302">
        <f ca="1">('Cost Input'!$K20/L49)^(1-$F90)*('Battery Design'!L136/'Battery Design'!L68*'Cost Input'!$D37/1000+'Cost Input'!$E37)</f>
        <v>0.21451732744226473</v>
      </c>
      <c r="M90" s="302">
        <f ca="1">('Cost Input'!$K20/M49)^(1-$F90)*('Battery Design'!M136/'Battery Design'!M68*'Cost Input'!$D37/1000+'Cost Input'!$E37)</f>
        <v>0.2025231297946013</v>
      </c>
      <c r="U90" s="164"/>
      <c r="Y90" s="302"/>
    </row>
    <row r="91" spans="2:25">
      <c r="B91" s="746" t="str">
        <f t="shared" ref="B91:B97" si="30">$B$89 &amp; ": " &amp; C91</f>
        <v>Cost of Module Materials and Purchased Items, $/module: Aluminum thermal conductors/module $/module</v>
      </c>
      <c r="C91" s="96" t="s">
        <v>1296</v>
      </c>
      <c r="D91" s="17"/>
      <c r="E91" s="299"/>
      <c r="F91" s="256"/>
      <c r="G91" s="302">
        <f ca="1">G90*'Battery Design'!G68</f>
        <v>10.174302035958249</v>
      </c>
      <c r="H91" s="302">
        <f ca="1">H90*'Battery Design'!H68</f>
        <v>5.5885433861914171</v>
      </c>
      <c r="I91" s="302">
        <f ca="1">I90*'Battery Design'!I68</f>
        <v>5.1532400700659906</v>
      </c>
      <c r="J91" s="302">
        <f ca="1">J90*'Battery Design'!J68</f>
        <v>4.8651095928537682</v>
      </c>
      <c r="K91" s="302">
        <f ca="1">K90*'Battery Design'!K68</f>
        <v>4.6527597208781906</v>
      </c>
      <c r="L91" s="302">
        <f ca="1">L90*'Battery Design'!L68</f>
        <v>4.290346548845295</v>
      </c>
      <c r="M91" s="302">
        <f ca="1">M90*'Battery Design'!M68</f>
        <v>4.050462595892026</v>
      </c>
      <c r="U91" s="96"/>
      <c r="Y91" s="302"/>
    </row>
    <row r="92" spans="2:25">
      <c r="B92" s="746" t="str">
        <f t="shared" si="30"/>
        <v>Cost of Module Materials and Purchased Items, $/module: Cell group interconnects (copper) $/module</v>
      </c>
      <c r="C92" s="256" t="s">
        <v>1297</v>
      </c>
      <c r="D92" s="17"/>
      <c r="E92" s="256"/>
      <c r="F92" s="256"/>
      <c r="G92" s="302">
        <f ca="1">IF('Battery Design'!G69=1,0,'Battery Design'!G68/'Battery Design'!G69*2*('Cost Input'!$E35+'Battery Design'!G125/1000*'Cost Input'!$D35))</f>
        <v>4.7379309809924166</v>
      </c>
      <c r="H92" s="302">
        <f ca="1">IF('Battery Design'!H69=1,0,'Battery Design'!H68/'Battery Design'!H69*2*('Cost Input'!$E35+'Battery Design'!H125/1000*'Cost Input'!$D35))</f>
        <v>4.7379309809924166</v>
      </c>
      <c r="I92" s="302">
        <f ca="1">IF('Battery Design'!I69=1,0,'Battery Design'!I68/'Battery Design'!I69*2*('Cost Input'!$E35+'Battery Design'!I125/1000*'Cost Input'!$D35))</f>
        <v>4.7379309809924166</v>
      </c>
      <c r="J92" s="302">
        <f ca="1">IF('Battery Design'!J69=1,0,'Battery Design'!J68/'Battery Design'!J69*2*('Cost Input'!$E35+'Battery Design'!J125/1000*'Cost Input'!$D35))</f>
        <v>4.7379309809924166</v>
      </c>
      <c r="K92" s="302">
        <f ca="1">IF('Battery Design'!K69=1,0,'Battery Design'!K68/'Battery Design'!K69*2*('Cost Input'!$E35+'Battery Design'!K125/1000*'Cost Input'!$D35))</f>
        <v>4.7379309809924166</v>
      </c>
      <c r="L92" s="302">
        <f ca="1">IF('Battery Design'!L69=1,0,'Battery Design'!L68/'Battery Design'!L69*2*('Cost Input'!$E35+'Battery Design'!L125/1000*'Cost Input'!$D35))</f>
        <v>4.7379309809924166</v>
      </c>
      <c r="M92" s="302">
        <f ca="1">IF('Battery Design'!M69=1,0,'Battery Design'!M68/'Battery Design'!M69*2*('Cost Input'!$E35+'Battery Design'!M125/1000*'Cost Input'!$D35))</f>
        <v>4.7379309809924166</v>
      </c>
      <c r="U92" s="96"/>
      <c r="Y92" s="302"/>
    </row>
    <row r="93" spans="2:25">
      <c r="B93" s="746" t="str">
        <f t="shared" si="30"/>
        <v>Cost of Module Materials and Purchased Items, $/module: Module state-of-charge regulator, $/module</v>
      </c>
      <c r="C93" s="256" t="s">
        <v>1298</v>
      </c>
      <c r="D93" s="256"/>
      <c r="E93" s="256"/>
      <c r="F93" s="256"/>
      <c r="G93" s="302">
        <f ca="1">'Battery Design'!G68/'Battery Design'!G69*('Cost Input'!$F$41+'Cost Input'!$F$42*'Battery Design'!G81)</f>
        <v>27.970117219483321</v>
      </c>
      <c r="H93" s="302">
        <f ca="1">'Battery Design'!H68/'Battery Design'!H69*('Cost Input'!$F$41+'Cost Input'!$F$42*'Battery Design'!H81)</f>
        <v>27.970117219483321</v>
      </c>
      <c r="I93" s="302">
        <f ca="1">'Battery Design'!I68/'Battery Design'!I69*('Cost Input'!$F$41+'Cost Input'!$F$42*'Battery Design'!I81)</f>
        <v>27.970117219483321</v>
      </c>
      <c r="J93" s="302">
        <f ca="1">'Battery Design'!J68/'Battery Design'!J69*('Cost Input'!$F$41+'Cost Input'!$F$42*'Battery Design'!J81)</f>
        <v>27.970117219483321</v>
      </c>
      <c r="K93" s="302">
        <f ca="1">'Battery Design'!K68/'Battery Design'!K69*('Cost Input'!$F$41+'Cost Input'!$F$42*'Battery Design'!K81)</f>
        <v>27.970117219483321</v>
      </c>
      <c r="L93" s="302">
        <f ca="1">'Battery Design'!L68/'Battery Design'!L69*('Cost Input'!$F$41+'Cost Input'!$F$42*'Battery Design'!L81)</f>
        <v>27.970117219483321</v>
      </c>
      <c r="M93" s="302">
        <f ca="1">'Battery Design'!M68/'Battery Design'!M69*('Cost Input'!$F$41+'Cost Input'!$F$42*'Battery Design'!M81)</f>
        <v>27.970117219483321</v>
      </c>
      <c r="U93" s="256"/>
      <c r="Y93" s="302"/>
    </row>
    <row r="94" spans="2:25">
      <c r="B94" s="746" t="str">
        <f t="shared" si="30"/>
        <v>Cost of Module Materials and Purchased Items, $/module: Module terminals, $/module</v>
      </c>
      <c r="C94" s="256" t="s">
        <v>1299</v>
      </c>
      <c r="D94" s="256"/>
      <c r="E94" s="256"/>
      <c r="F94" s="256"/>
      <c r="G94" s="302">
        <f ca="1">'Cost Input'!$F$44*'Battery Design'!G129/1000+'Cost Input'!$F$45</f>
        <v>1.456167256955049</v>
      </c>
      <c r="H94" s="302">
        <f ca="1">'Cost Input'!$F$44*'Battery Design'!H129/1000+'Cost Input'!$F$45</f>
        <v>1.456167256955049</v>
      </c>
      <c r="I94" s="302">
        <f ca="1">'Cost Input'!$F$44*'Battery Design'!I129/1000+'Cost Input'!$F$45</f>
        <v>1.456167256955049</v>
      </c>
      <c r="J94" s="302">
        <f ca="1">'Cost Input'!$F$44*'Battery Design'!J129/1000+'Cost Input'!$F$45</f>
        <v>1.456167256955049</v>
      </c>
      <c r="K94" s="302">
        <f ca="1">'Cost Input'!$F$44*'Battery Design'!K129/1000+'Cost Input'!$F$45</f>
        <v>1.456167256955049</v>
      </c>
      <c r="L94" s="302">
        <f ca="1">'Cost Input'!$F$44*'Battery Design'!L129/1000+'Cost Input'!$F$45</f>
        <v>1.456167256955049</v>
      </c>
      <c r="M94" s="302">
        <f ca="1">'Cost Input'!$F$44*'Battery Design'!M129/1000+'Cost Input'!$F$45</f>
        <v>1.456167256955049</v>
      </c>
      <c r="U94" s="256"/>
      <c r="Y94" s="302"/>
    </row>
    <row r="95" spans="2:25">
      <c r="B95" s="746" t="str">
        <f t="shared" si="30"/>
        <v>Cost of Module Materials and Purchased Items, $/module: Provision for gas release, $/module</v>
      </c>
      <c r="C95" s="256" t="s">
        <v>1300</v>
      </c>
      <c r="D95" s="256"/>
      <c r="E95" s="256"/>
      <c r="F95" s="256"/>
      <c r="G95" s="302">
        <f>'Cost Input'!$F$46</f>
        <v>1.5</v>
      </c>
      <c r="H95" s="302">
        <f>'Cost Input'!$F$46</f>
        <v>1.5</v>
      </c>
      <c r="I95" s="302">
        <f>'Cost Input'!$F$46</f>
        <v>1.5</v>
      </c>
      <c r="J95" s="302">
        <f>'Cost Input'!$F$46</f>
        <v>1.5</v>
      </c>
      <c r="K95" s="302">
        <f>'Cost Input'!$F$46</f>
        <v>1.5</v>
      </c>
      <c r="L95" s="302">
        <f>'Cost Input'!$F$46</f>
        <v>1.5</v>
      </c>
      <c r="M95" s="302">
        <f>'Cost Input'!$F$46</f>
        <v>1.5</v>
      </c>
      <c r="O95" s="168"/>
      <c r="U95" s="256"/>
      <c r="Y95" s="302"/>
    </row>
    <row r="96" spans="2:25">
      <c r="B96" s="746" t="str">
        <f t="shared" si="30"/>
        <v>Cost of Module Materials and Purchased Items, $/module: Module enclosure, $/module</v>
      </c>
      <c r="C96" s="256" t="s">
        <v>1301</v>
      </c>
      <c r="D96" s="256"/>
      <c r="E96" s="256"/>
      <c r="F96" s="256"/>
      <c r="G96" s="303">
        <f ca="1">'Cost Input'!$F$48*'Battery Design'!G138/1000+'Cost Input'!$F$49</f>
        <v>2.399523758053113</v>
      </c>
      <c r="H96" s="303">
        <f ca="1">'Cost Input'!$F$48*'Battery Design'!H138/1000+'Cost Input'!$F$49</f>
        <v>2.399523758053113</v>
      </c>
      <c r="I96" s="303">
        <f ca="1">'Cost Input'!$F$48*'Battery Design'!I138/1000+'Cost Input'!$F$49</f>
        <v>2.399523758053113</v>
      </c>
      <c r="J96" s="303">
        <f ca="1">'Cost Input'!$F$48*'Battery Design'!J138/1000+'Cost Input'!$F$49</f>
        <v>2.399523758053113</v>
      </c>
      <c r="K96" s="303">
        <f ca="1">'Cost Input'!$F$48*'Battery Design'!K138/1000+'Cost Input'!$F$49</f>
        <v>2.399523758053113</v>
      </c>
      <c r="L96" s="303">
        <f ca="1">'Cost Input'!$F$48*'Battery Design'!L138/1000+'Cost Input'!$F$49</f>
        <v>2.399523758053113</v>
      </c>
      <c r="M96" s="303">
        <f ca="1">'Cost Input'!$F$48*'Battery Design'!M138/1000+'Cost Input'!$F$49</f>
        <v>2.399523758053113</v>
      </c>
      <c r="U96" s="256"/>
      <c r="Y96" s="302"/>
    </row>
    <row r="97" spans="2:25">
      <c r="B97" s="746" t="str">
        <f t="shared" si="30"/>
        <v>Cost of Module Materials and Purchased Items, $/module: Total cost per module materials and purchased items, $/module</v>
      </c>
      <c r="C97" s="256" t="s">
        <v>1302</v>
      </c>
      <c r="D97" s="256"/>
      <c r="E97" s="256"/>
      <c r="F97" s="256"/>
      <c r="G97" s="302">
        <f t="shared" ref="G97:L97" ca="1" si="31">SUM(G91:G96)</f>
        <v>48.238041251442148</v>
      </c>
      <c r="H97" s="302">
        <f t="shared" ca="1" si="31"/>
        <v>43.652282601675317</v>
      </c>
      <c r="I97" s="302">
        <f t="shared" ca="1" si="31"/>
        <v>43.21697928554989</v>
      </c>
      <c r="J97" s="302">
        <f t="shared" ca="1" si="31"/>
        <v>42.928848808337669</v>
      </c>
      <c r="K97" s="302">
        <f t="shared" ca="1" si="31"/>
        <v>42.716498936362086</v>
      </c>
      <c r="L97" s="302">
        <f t="shared" ca="1" si="31"/>
        <v>42.354085764329199</v>
      </c>
      <c r="M97" s="302">
        <f ca="1">SUM(M91:M96)</f>
        <v>42.114201811375921</v>
      </c>
      <c r="U97" s="256"/>
      <c r="Y97" s="302"/>
    </row>
    <row r="98" spans="2:25" ht="14">
      <c r="B98" s="164" t="s">
        <v>724</v>
      </c>
      <c r="C98" s="256"/>
      <c r="D98" s="256"/>
      <c r="E98" s="256"/>
      <c r="F98" s="256"/>
      <c r="G98" s="302"/>
      <c r="H98" s="302"/>
      <c r="I98" s="302"/>
      <c r="J98" s="302"/>
      <c r="K98" s="302"/>
      <c r="L98" s="302"/>
      <c r="M98" s="302"/>
      <c r="U98" s="256"/>
      <c r="Y98" s="302"/>
    </row>
    <row r="99" spans="2:25" ht="14">
      <c r="B99" s="746" t="str">
        <f>$B$98 &amp; ": " &amp; C99</f>
        <v>Cost of Battery Pack Materials and Purchased Items, $/pack: Module Inter-connectors and signal wiring, $/pack</v>
      </c>
      <c r="C99" s="256" t="s">
        <v>1284</v>
      </c>
      <c r="D99" s="256"/>
      <c r="E99" s="256"/>
      <c r="F99" s="256"/>
      <c r="G99" s="302">
        <f ca="1">('Battery Design'!G72+1)*('Cost Input'!$F52*'Battery Design'!G166/1000*'Cost Input'!$F52+'Cost Input'!$F53)</f>
        <v>109.97707437633613</v>
      </c>
      <c r="H99" s="302">
        <f ca="1">('Battery Design'!H72+1)*('Cost Input'!$F52*'Battery Design'!H166/1000*'Cost Input'!$F52+'Cost Input'!$F53)</f>
        <v>109.97707437633613</v>
      </c>
      <c r="I99" s="302">
        <f ca="1">('Battery Design'!I72+1)*('Cost Input'!$F52*'Battery Design'!I166/1000*'Cost Input'!$F52+'Cost Input'!$F53)</f>
        <v>109.97707437633613</v>
      </c>
      <c r="J99" s="302">
        <f ca="1">('Battery Design'!J72+1)*('Cost Input'!$F52*'Battery Design'!J166/1000*'Cost Input'!$F52+'Cost Input'!$F53)</f>
        <v>109.97707437633613</v>
      </c>
      <c r="K99" s="302">
        <f ca="1">('Battery Design'!K72+1)*('Cost Input'!$F52*'Battery Design'!K166/1000*'Cost Input'!$F52+'Cost Input'!$F53)</f>
        <v>109.97707437633613</v>
      </c>
      <c r="L99" s="302">
        <f ca="1">('Battery Design'!L72+1)*('Cost Input'!$F52*'Battery Design'!L166/1000*'Cost Input'!$F52+'Cost Input'!$F53)</f>
        <v>109.97707437633613</v>
      </c>
      <c r="M99" s="302">
        <f ca="1">('Battery Design'!M72+1)*('Cost Input'!$F52*'Battery Design'!M166/1000*'Cost Input'!$F52+'Cost Input'!$F53)</f>
        <v>109.97707437633613</v>
      </c>
      <c r="P99" s="87"/>
      <c r="Q99" s="87"/>
      <c r="R99" s="87"/>
      <c r="S99" s="87"/>
      <c r="T99" s="87"/>
      <c r="U99" s="434"/>
      <c r="V99" s="87"/>
      <c r="Y99" s="302"/>
    </row>
    <row r="100" spans="2:25">
      <c r="B100" s="746" t="str">
        <f t="shared" ref="B100:B109" si="32">$B$98 &amp; ": " &amp; C100</f>
        <v>Cost of Battery Pack Materials and Purchased Items, $/pack: Module compression plates and steel straps, $/pack</v>
      </c>
      <c r="C100" s="256" t="s">
        <v>1285</v>
      </c>
      <c r="D100" s="256"/>
      <c r="E100" s="256"/>
      <c r="F100" s="256"/>
      <c r="G100" s="302">
        <f ca="1">'Battery Design'!G167/1000*'Cost Input'!$F54</f>
        <v>4.5640212095635446</v>
      </c>
      <c r="H100" s="302">
        <f ca="1">'Battery Design'!H167/1000*'Cost Input'!$F54</f>
        <v>4.5640212095635446</v>
      </c>
      <c r="I100" s="302">
        <f ca="1">'Battery Design'!I167/1000*'Cost Input'!$F54</f>
        <v>4.5640212095635446</v>
      </c>
      <c r="J100" s="302">
        <f ca="1">'Battery Design'!J167/1000*'Cost Input'!$F54</f>
        <v>4.5640212095635446</v>
      </c>
      <c r="K100" s="302">
        <f ca="1">'Battery Design'!K167/1000*'Cost Input'!$F54</f>
        <v>4.5640212095635446</v>
      </c>
      <c r="L100" s="302">
        <f ca="1">'Battery Design'!L167/1000*'Cost Input'!$F54</f>
        <v>4.5640212095635446</v>
      </c>
      <c r="M100" s="302">
        <f ca="1">'Battery Design'!M167/1000*'Cost Input'!$F54</f>
        <v>4.5640212095635446</v>
      </c>
      <c r="P100" s="87"/>
      <c r="Q100" s="87"/>
      <c r="R100" s="87"/>
      <c r="S100" s="87"/>
      <c r="T100" s="87"/>
      <c r="U100" s="243"/>
      <c r="V100" s="87"/>
      <c r="Y100" s="302"/>
    </row>
    <row r="101" spans="2:25">
      <c r="B101" s="746" t="str">
        <f t="shared" si="32"/>
        <v>Cost of Battery Pack Materials and Purchased Items, $/pack: Battery terminals, $/pack</v>
      </c>
      <c r="C101" s="256" t="s">
        <v>1286</v>
      </c>
      <c r="D101" s="256"/>
      <c r="E101" s="256"/>
      <c r="F101" s="256"/>
      <c r="G101" s="302">
        <f ca="1">'Cost Input'!$F56+'Cost Input'!$F57*ROUNDUP('Battery Design'!G165,-2)</f>
        <v>37</v>
      </c>
      <c r="H101" s="302">
        <f ca="1">'Cost Input'!$F56+'Cost Input'!$F57*ROUNDUP('Battery Design'!H165,-2)</f>
        <v>37</v>
      </c>
      <c r="I101" s="302">
        <f ca="1">'Cost Input'!$F56+'Cost Input'!$F57*ROUNDUP('Battery Design'!I165,-2)</f>
        <v>37</v>
      </c>
      <c r="J101" s="302">
        <f ca="1">'Cost Input'!$F56+'Cost Input'!$F57*ROUNDUP('Battery Design'!J165,-2)</f>
        <v>37</v>
      </c>
      <c r="K101" s="302">
        <f ca="1">'Cost Input'!$F56+'Cost Input'!$F57*ROUNDUP('Battery Design'!K165,-2)</f>
        <v>37</v>
      </c>
      <c r="L101" s="302">
        <f ca="1">'Cost Input'!$F56+'Cost Input'!$F57*ROUNDUP('Battery Design'!L165,-2)</f>
        <v>37</v>
      </c>
      <c r="M101" s="302">
        <f ca="1">'Cost Input'!$F56+'Cost Input'!$F57*ROUNDUP('Battery Design'!M165,-2)</f>
        <v>37</v>
      </c>
      <c r="O101" s="168"/>
      <c r="P101" s="87"/>
      <c r="Q101" s="87"/>
      <c r="R101" s="87"/>
      <c r="S101" s="87"/>
      <c r="T101" s="87"/>
      <c r="U101" s="243"/>
      <c r="V101" s="87"/>
      <c r="Y101" s="302"/>
    </row>
    <row r="102" spans="2:25">
      <c r="B102" s="746" t="str">
        <f t="shared" si="32"/>
        <v>Cost of Battery Pack Materials and Purchased Items, $/pack: Bus bar for battery packs with one row of modules, $/pack</v>
      </c>
      <c r="C102" s="256" t="s">
        <v>1287</v>
      </c>
      <c r="D102" s="256"/>
      <c r="E102" s="256"/>
      <c r="F102" s="256"/>
      <c r="G102" s="302">
        <f>IF(AND('Battery Design'!G71=1,'Battery Design'!G70&gt;1),'Cost Input'!$F59,0)</f>
        <v>0</v>
      </c>
      <c r="H102" s="302">
        <f>IF(AND('Battery Design'!H71=1,'Battery Design'!H70&gt;1),'Cost Input'!$F59,0)</f>
        <v>0</v>
      </c>
      <c r="I102" s="302">
        <f>IF(AND('Battery Design'!I71=1,'Battery Design'!I70&gt;1),'Cost Input'!$F59,0)</f>
        <v>0</v>
      </c>
      <c r="J102" s="302">
        <f>IF(AND('Battery Design'!J71=1,'Battery Design'!J70&gt;1),'Cost Input'!$F59,0)</f>
        <v>0</v>
      </c>
      <c r="K102" s="302">
        <f>IF(AND('Battery Design'!K71=1,'Battery Design'!K70&gt;1),'Cost Input'!$F59,0)</f>
        <v>0</v>
      </c>
      <c r="L102" s="302">
        <f>IF(AND('Battery Design'!L71=1,'Battery Design'!L70&gt;1),'Cost Input'!$F59,0)</f>
        <v>0</v>
      </c>
      <c r="M102" s="302">
        <f>IF(AND('Battery Design'!M71=1,'Battery Design'!M70&gt;1),'Cost Input'!$F59,0)</f>
        <v>0</v>
      </c>
      <c r="P102" s="87"/>
      <c r="Q102" s="87"/>
      <c r="R102" s="87"/>
      <c r="S102" s="87"/>
      <c r="T102" s="87"/>
      <c r="U102" s="243"/>
      <c r="V102" s="87"/>
      <c r="Y102" s="302"/>
    </row>
    <row r="103" spans="2:25">
      <c r="B103" s="746" t="str">
        <f t="shared" si="32"/>
        <v>Cost of Battery Pack Materials and Purchased Items, $/pack: Bus bars for battery packs with parallel modules, $/pack</v>
      </c>
      <c r="C103" s="256" t="s">
        <v>1288</v>
      </c>
      <c r="D103" s="256"/>
      <c r="E103" s="256"/>
      <c r="F103" s="256"/>
      <c r="G103" s="302">
        <f>IF('Battery Design'!G73&gt;1,'Cost Input'!$F59*'Battery Design'!G73,0)</f>
        <v>0</v>
      </c>
      <c r="H103" s="302">
        <f>IF('Battery Design'!H73&gt;1,'Cost Input'!$F59*'Battery Design'!H73,0)</f>
        <v>0</v>
      </c>
      <c r="I103" s="302">
        <f>IF('Battery Design'!I73&gt;1,'Cost Input'!$F59*'Battery Design'!I73,0)</f>
        <v>0</v>
      </c>
      <c r="J103" s="302">
        <f>IF('Battery Design'!J73&gt;1,'Cost Input'!$F59*'Battery Design'!J73,0)</f>
        <v>0</v>
      </c>
      <c r="K103" s="302">
        <f>IF('Battery Design'!K73&gt;1,'Cost Input'!$F59*'Battery Design'!K73,0)</f>
        <v>0</v>
      </c>
      <c r="L103" s="302">
        <f>IF('Battery Design'!L73&gt;1,'Cost Input'!$F59*'Battery Design'!L73,0)</f>
        <v>0</v>
      </c>
      <c r="M103" s="302">
        <f>IF('Battery Design'!M73&gt;1,'Cost Input'!$F59*'Battery Design'!M73,0)</f>
        <v>0</v>
      </c>
      <c r="P103" s="87"/>
      <c r="Q103" s="87"/>
      <c r="R103" s="87"/>
      <c r="S103" s="87"/>
      <c r="T103" s="87"/>
      <c r="U103" s="243"/>
      <c r="V103" s="87"/>
      <c r="Y103" s="302"/>
    </row>
    <row r="104" spans="2:25">
      <c r="B104" s="746" t="str">
        <f t="shared" si="32"/>
        <v>Cost of Battery Pack Materials and Purchased Items, $/pack: Bus bars for interconnecting multiple battery packs, $/pack</v>
      </c>
      <c r="C104" s="256" t="s">
        <v>1289</v>
      </c>
      <c r="D104" s="256"/>
      <c r="E104" s="256"/>
      <c r="F104" s="256"/>
      <c r="G104" s="302">
        <f>IF('Battery Design'!G56&gt;1,'Cost Input'!$F59*'Battery Design'!G56,0)</f>
        <v>0</v>
      </c>
      <c r="H104" s="302">
        <f>IF('Battery Design'!H56&gt;1,'Cost Input'!$F59*'Battery Design'!H56,0)</f>
        <v>0</v>
      </c>
      <c r="I104" s="302">
        <f>IF('Battery Design'!I56&gt;1,'Cost Input'!$F59*'Battery Design'!I56,0)</f>
        <v>0</v>
      </c>
      <c r="J104" s="302">
        <f>IF('Battery Design'!J56&gt;1,'Cost Input'!$F59*'Battery Design'!J56,0)</f>
        <v>0</v>
      </c>
      <c r="K104" s="302">
        <f>IF('Battery Design'!K56&gt;1,'Cost Input'!$F59*'Battery Design'!K56,0)</f>
        <v>0</v>
      </c>
      <c r="L104" s="302">
        <f>IF('Battery Design'!L56&gt;1,'Cost Input'!$F59*'Battery Design'!L56,0)</f>
        <v>0</v>
      </c>
      <c r="M104" s="302">
        <f>IF('Battery Design'!M56&gt;1,'Cost Input'!$F59*'Battery Design'!M56,0)</f>
        <v>0</v>
      </c>
      <c r="P104" s="87"/>
      <c r="Q104" s="87"/>
      <c r="R104" s="87"/>
      <c r="S104" s="87"/>
      <c r="T104" s="87"/>
      <c r="U104" s="243"/>
      <c r="V104" s="87"/>
      <c r="Y104" s="302"/>
    </row>
    <row r="105" spans="2:25" s="256" customFormat="1">
      <c r="B105" s="746" t="str">
        <f t="shared" si="32"/>
        <v>Cost of Battery Pack Materials and Purchased Items, $/pack: Baseline thermal system, $/pack</v>
      </c>
      <c r="C105" s="256" t="s">
        <v>1290</v>
      </c>
      <c r="G105" s="302">
        <f>IF('Battery Design'!G62="microHEV",'Cost Input'!$I64,IF('Battery Design'!G62="HEV-HP",'Cost Input'!$J64,'Cost Input'!$K64+('Battery Design'!G56-1)*60))</f>
        <v>120</v>
      </c>
      <c r="H105" s="302">
        <f>IF('Battery Design'!H62="microHEV",'Cost Input'!$I64,IF('Battery Design'!H62="HEV-HP",'Cost Input'!$J64,'Cost Input'!$K64+('Battery Design'!H56-1)*60))</f>
        <v>120</v>
      </c>
      <c r="I105" s="302">
        <f>IF('Battery Design'!I62="microHEV",'Cost Input'!$I64,IF('Battery Design'!I62="HEV-HP",'Cost Input'!$J64,'Cost Input'!$K64+('Battery Design'!I56-1)*60))</f>
        <v>120</v>
      </c>
      <c r="J105" s="302">
        <f>IF('Battery Design'!J62="microHEV",'Cost Input'!$I64,IF('Battery Design'!J62="HEV-HP",'Cost Input'!$J64,'Cost Input'!$K64+('Battery Design'!J56-1)*60))</f>
        <v>120</v>
      </c>
      <c r="K105" s="302">
        <f>IF('Battery Design'!K62="microHEV",'Cost Input'!$I64,IF('Battery Design'!K62="HEV-HP",'Cost Input'!$J64,'Cost Input'!$K64+('Battery Design'!K56-1)*60))</f>
        <v>120</v>
      </c>
      <c r="L105" s="302">
        <f>IF('Battery Design'!L62="microHEV",'Cost Input'!$I64,IF('Battery Design'!L62="HEV-HP",'Cost Input'!$J64,'Cost Input'!$K64+('Battery Design'!L56-1)*60))</f>
        <v>120</v>
      </c>
      <c r="M105" s="302">
        <f>IF('Battery Design'!M62="microHEV",'Cost Input'!$I64,IF('Battery Design'!M62="HEV-HP",'Cost Input'!$J64,'Cost Input'!$K64+('Battery Design'!M56-1)*60))</f>
        <v>120</v>
      </c>
      <c r="P105" s="243"/>
      <c r="Q105" s="243"/>
      <c r="R105" s="243"/>
      <c r="S105" s="243"/>
      <c r="T105" s="243"/>
      <c r="U105" s="243"/>
      <c r="V105" s="243"/>
      <c r="Y105" s="302"/>
    </row>
    <row r="106" spans="2:25" s="256" customFormat="1">
      <c r="B106" s="746" t="str">
        <f t="shared" si="32"/>
        <v>Cost of Battery Pack Materials and Purchased Items, $/pack: Heating system, $/pack</v>
      </c>
      <c r="C106" s="256" t="s">
        <v>1291</v>
      </c>
      <c r="G106" s="302">
        <f ca="1">IF(Thermal!G67="CA",0,Thermal!G189/1000*IF('Battery Design'!G62="microHEV",'Cost Input'!$I66,IF('Battery Design'!G62="HEV-HP",'Cost Input'!$J66,'Cost Input'!$K66)))*'Battery Design'!G56</f>
        <v>60</v>
      </c>
      <c r="H106" s="302">
        <f ca="1">IF(Thermal!H67="CA",0,Thermal!H189/1000*IF('Battery Design'!H62="microHEV",'Cost Input'!$I66,IF('Battery Design'!H62="HEV-HP",'Cost Input'!$J66,'Cost Input'!$K66)))*'Battery Design'!H56</f>
        <v>60</v>
      </c>
      <c r="I106" s="302">
        <f ca="1">IF(Thermal!I67="CA",0,Thermal!I189/1000*IF('Battery Design'!I62="microHEV",'Cost Input'!$I66,IF('Battery Design'!I62="HEV-HP",'Cost Input'!$J66,'Cost Input'!$K66)))*'Battery Design'!I56</f>
        <v>60</v>
      </c>
      <c r="J106" s="302">
        <f ca="1">IF(Thermal!J67="CA",0,Thermal!J189/1000*IF('Battery Design'!J62="microHEV",'Cost Input'!$I66,IF('Battery Design'!J62="HEV-HP",'Cost Input'!$J66,'Cost Input'!$K66)))*'Battery Design'!J56</f>
        <v>60</v>
      </c>
      <c r="K106" s="302">
        <f ca="1">IF(Thermal!K67="CA",0,Thermal!K189/1000*IF('Battery Design'!K62="microHEV",'Cost Input'!$I66,IF('Battery Design'!K62="HEV-HP",'Cost Input'!$J66,'Cost Input'!$K66)))*'Battery Design'!K56</f>
        <v>60</v>
      </c>
      <c r="L106" s="302">
        <f ca="1">IF(Thermal!L67="CA",0,Thermal!L189/1000*IF('Battery Design'!L62="microHEV",'Cost Input'!$I66,IF('Battery Design'!L62="HEV-HP",'Cost Input'!$J66,'Cost Input'!$K66)))*'Battery Design'!L56</f>
        <v>60</v>
      </c>
      <c r="M106" s="302">
        <f ca="1">IF(Thermal!M67="CA",0,Thermal!M189/1000*IF('Battery Design'!M62="microHEV",'Cost Input'!$I66,IF('Battery Design'!M62="HEV-HP",'Cost Input'!$J66,'Cost Input'!$K66)))*'Battery Design'!M56</f>
        <v>60</v>
      </c>
      <c r="P106" s="243"/>
      <c r="Q106" s="243"/>
      <c r="R106" s="243"/>
      <c r="S106" s="243"/>
      <c r="T106" s="243"/>
      <c r="U106" s="243"/>
      <c r="V106" s="243"/>
      <c r="Y106" s="302"/>
    </row>
    <row r="107" spans="2:25">
      <c r="B107" s="746" t="str">
        <f t="shared" si="32"/>
        <v>Cost of Battery Pack Materials and Purchased Items, $/pack: Battery jacket, $/pack</v>
      </c>
      <c r="C107" s="256" t="s">
        <v>1292</v>
      </c>
      <c r="D107" s="256"/>
      <c r="E107" s="256"/>
      <c r="F107" s="256"/>
      <c r="G107" s="302">
        <f ca="1">'Cost Input'!$F61*'Battery Design'!G178+'Cost Input'!$F62</f>
        <v>506.05268569101816</v>
      </c>
      <c r="H107" s="302">
        <f ca="1">'Cost Input'!$F61*'Battery Design'!H178+'Cost Input'!$F62</f>
        <v>506.05268569101816</v>
      </c>
      <c r="I107" s="302">
        <f ca="1">'Cost Input'!$F61*'Battery Design'!I178+'Cost Input'!$F62</f>
        <v>506.05268569101816</v>
      </c>
      <c r="J107" s="302">
        <f ca="1">'Cost Input'!$F61*'Battery Design'!J178+'Cost Input'!$F62</f>
        <v>506.05268569101816</v>
      </c>
      <c r="K107" s="302">
        <f ca="1">'Cost Input'!$F61*'Battery Design'!K178+'Cost Input'!$F62</f>
        <v>506.05268569101816</v>
      </c>
      <c r="L107" s="302">
        <f ca="1">'Cost Input'!$F61*'Battery Design'!L178+'Cost Input'!$F62</f>
        <v>506.05268569101816</v>
      </c>
      <c r="M107" s="302">
        <f ca="1">'Cost Input'!$F61*'Battery Design'!M178+'Cost Input'!$F62</f>
        <v>506.05268569101816</v>
      </c>
      <c r="P107" s="87"/>
      <c r="Q107" s="87"/>
      <c r="R107" s="87"/>
      <c r="S107" s="87"/>
      <c r="T107" s="87"/>
      <c r="U107" s="243"/>
      <c r="V107" s="87"/>
      <c r="Y107" s="302"/>
    </row>
    <row r="108" spans="2:25">
      <c r="B108" s="746" t="str">
        <f t="shared" si="32"/>
        <v>Cost of Battery Pack Materials and Purchased Items, $/pack: Total cost per battery pack, $/pack</v>
      </c>
      <c r="C108" s="256" t="s">
        <v>1293</v>
      </c>
      <c r="D108" s="256"/>
      <c r="E108" s="256"/>
      <c r="F108" s="256"/>
      <c r="G108" s="302">
        <f t="shared" ref="G108:L108" ca="1" si="33">SUM(G99:G107)</f>
        <v>837.59378127691787</v>
      </c>
      <c r="H108" s="302">
        <f t="shared" ca="1" si="33"/>
        <v>837.59378127691787</v>
      </c>
      <c r="I108" s="302">
        <f t="shared" ca="1" si="33"/>
        <v>837.59378127691787</v>
      </c>
      <c r="J108" s="302">
        <f t="shared" ca="1" si="33"/>
        <v>837.59378127691787</v>
      </c>
      <c r="K108" s="302">
        <f t="shared" ca="1" si="33"/>
        <v>837.59378127691787</v>
      </c>
      <c r="L108" s="302">
        <f t="shared" ca="1" si="33"/>
        <v>837.59378127691787</v>
      </c>
      <c r="M108" s="302">
        <f ca="1">SUM(M99:M107)</f>
        <v>837.59378127691787</v>
      </c>
      <c r="P108" s="87"/>
      <c r="Q108" s="87"/>
      <c r="R108" s="87"/>
      <c r="S108" s="87"/>
      <c r="T108" s="87"/>
      <c r="U108" s="243"/>
      <c r="V108" s="87"/>
      <c r="Y108" s="302"/>
    </row>
    <row r="109" spans="2:25">
      <c r="B109" s="746" t="str">
        <f t="shared" si="32"/>
        <v>Cost of Battery Pack Materials and Purchased Items, $/pack: Total cost of materials for cells and battery pack, $, $/pack</v>
      </c>
      <c r="C109" s="256" t="s">
        <v>1294</v>
      </c>
      <c r="D109" s="256"/>
      <c r="E109" s="256"/>
      <c r="F109" s="256"/>
      <c r="G109" s="302">
        <f ca="1">G88*'Battery Design'!G74+G97*'Battery Design'!G72+G108</f>
        <v>14814.621372695456</v>
      </c>
      <c r="H109" s="302">
        <f ca="1">H88*'Battery Design'!H74+H97*'Battery Design'!H72+H108</f>
        <v>13697.21415841568</v>
      </c>
      <c r="I109" s="302">
        <f ca="1">I88*'Battery Design'!I74+I97*'Battery Design'!I72+I108</f>
        <v>13579.427102386862</v>
      </c>
      <c r="J109" s="302">
        <f ca="1">J88*'Battery Design'!J74+J97*'Battery Design'!J72+J108</f>
        <v>13499.806349535405</v>
      </c>
      <c r="K109" s="302">
        <f ca="1">K88*'Battery Design'!K74+K97*'Battery Design'!K72+K108</f>
        <v>13440.200399455736</v>
      </c>
      <c r="L109" s="302">
        <f ca="1">L88*'Battery Design'!L74+L97*'Battery Design'!L72+L108</f>
        <v>13336.483384505158</v>
      </c>
      <c r="M109" s="302">
        <f ca="1">M88*'Battery Design'!M74+M97*'Battery Design'!M72+M108</f>
        <v>13266.320744446848</v>
      </c>
      <c r="P109" s="87"/>
      <c r="Q109" s="87"/>
      <c r="R109" s="87"/>
      <c r="S109" s="87"/>
      <c r="T109" s="87"/>
      <c r="U109" s="243"/>
      <c r="V109" s="87"/>
      <c r="Y109" s="302"/>
    </row>
    <row r="110" spans="2:25" ht="14">
      <c r="B110" s="164" t="s">
        <v>989</v>
      </c>
      <c r="C110" s="256"/>
      <c r="D110" s="256"/>
      <c r="E110" s="256"/>
      <c r="F110" s="256"/>
      <c r="G110" s="302"/>
      <c r="H110" s="302"/>
      <c r="I110" s="302"/>
      <c r="J110" s="302"/>
      <c r="K110" s="302"/>
      <c r="L110" s="302"/>
      <c r="M110" s="302"/>
      <c r="U110" s="256"/>
      <c r="Y110" s="302"/>
    </row>
    <row r="111" spans="2:25" ht="14">
      <c r="B111" s="746" t="str">
        <f>$B$110 &amp; ": " &amp; C111</f>
        <v>Cost of Pack Integration: Battery current and voltage sensing, $</v>
      </c>
      <c r="C111" s="256" t="s">
        <v>364</v>
      </c>
      <c r="D111" s="256"/>
      <c r="E111" s="256"/>
      <c r="F111" s="256"/>
      <c r="G111" s="302">
        <f>IF('Battery Design'!G62="microHEV",'Cost Input'!$I57,IF('Battery Design'!G62="HEV-HP",'Cost Input'!$J57,'Cost Input'!$K57))</f>
        <v>100</v>
      </c>
      <c r="H111" s="302">
        <f>IF('Battery Design'!H62="microHEV",'Cost Input'!$I57,IF('Battery Design'!H62="HEV-HP",'Cost Input'!$J57,'Cost Input'!$K57))</f>
        <v>100</v>
      </c>
      <c r="I111" s="302">
        <f>IF('Battery Design'!I62="microHEV",'Cost Input'!$I57,IF('Battery Design'!I62="HEV-HP",'Cost Input'!$J57,'Cost Input'!$K57))</f>
        <v>100</v>
      </c>
      <c r="J111" s="302">
        <f>IF('Battery Design'!J62="microHEV",'Cost Input'!$I57,IF('Battery Design'!J62="HEV-HP",'Cost Input'!$J57,'Cost Input'!$K57))</f>
        <v>100</v>
      </c>
      <c r="K111" s="302">
        <f>IF('Battery Design'!K62="microHEV",'Cost Input'!$I57,IF('Battery Design'!K62="HEV-HP",'Cost Input'!$J57,'Cost Input'!$K57))</f>
        <v>100</v>
      </c>
      <c r="L111" s="302">
        <f>IF('Battery Design'!L62="microHEV",'Cost Input'!$I57,IF('Battery Design'!L62="HEV-HP",'Cost Input'!$J57,'Cost Input'!$K57))</f>
        <v>100</v>
      </c>
      <c r="M111" s="302">
        <f>IF('Battery Design'!M62="microHEV",'Cost Input'!$I57,IF('Battery Design'!M62="HEV-HP",'Cost Input'!$J57,'Cost Input'!$K57))</f>
        <v>100</v>
      </c>
      <c r="O111" s="168"/>
      <c r="U111" s="164"/>
      <c r="Y111" s="302"/>
    </row>
    <row r="112" spans="2:25">
      <c r="B112" s="746" t="str">
        <f t="shared" ref="B112:B116" si="34">$B$110 &amp; ": " &amp; C112</f>
        <v>Cost of Pack Integration: Module controls</v>
      </c>
      <c r="C112" s="256" t="s">
        <v>365</v>
      </c>
      <c r="D112" s="256"/>
      <c r="E112" s="256"/>
      <c r="F112" s="256"/>
      <c r="G112" s="302">
        <f>'Battery Design'!G72*IF('Battery Design'!G62="microHEV",'Cost Input'!$I58,IF('Battery Design'!G62="HEV-HP",'Cost Input'!$J58,'Cost Input'!$K58))</f>
        <v>400</v>
      </c>
      <c r="H112" s="302">
        <f>'Battery Design'!H72*IF('Battery Design'!H62="microHEV",'Cost Input'!$I58,IF('Battery Design'!H62="HEV-HP",'Cost Input'!$J58,'Cost Input'!$K58))</f>
        <v>400</v>
      </c>
      <c r="I112" s="302">
        <f>'Battery Design'!I72*IF('Battery Design'!I62="microHEV",'Cost Input'!$I58,IF('Battery Design'!I62="HEV-HP",'Cost Input'!$J58,'Cost Input'!$K58))</f>
        <v>400</v>
      </c>
      <c r="J112" s="302">
        <f>'Battery Design'!J72*IF('Battery Design'!J62="microHEV",'Cost Input'!$I58,IF('Battery Design'!J62="HEV-HP",'Cost Input'!$J58,'Cost Input'!$K58))</f>
        <v>400</v>
      </c>
      <c r="K112" s="302">
        <f>'Battery Design'!K72*IF('Battery Design'!K62="microHEV",'Cost Input'!$I58,IF('Battery Design'!K62="HEV-HP",'Cost Input'!$J58,'Cost Input'!$K58))</f>
        <v>400</v>
      </c>
      <c r="L112" s="302">
        <f>'Battery Design'!L72*IF('Battery Design'!L62="microHEV",'Cost Input'!$I58,IF('Battery Design'!L62="HEV-HP",'Cost Input'!$J58,'Cost Input'!$K58))</f>
        <v>400</v>
      </c>
      <c r="M112" s="302">
        <f>'Battery Design'!M72*IF('Battery Design'!M62="microHEV",'Cost Input'!$I58,IF('Battery Design'!M62="HEV-HP",'Cost Input'!$J58,'Cost Input'!$K58))</f>
        <v>400</v>
      </c>
      <c r="U112" s="256"/>
      <c r="Y112" s="302"/>
    </row>
    <row r="113" spans="2:25">
      <c r="B113" s="746" t="str">
        <f t="shared" si="34"/>
        <v>Cost of Pack Integration: Automatic battery disconnect, $</v>
      </c>
      <c r="C113" s="256" t="s">
        <v>366</v>
      </c>
      <c r="D113" s="256"/>
      <c r="E113" s="256"/>
      <c r="F113" s="256"/>
      <c r="G113" s="302">
        <f>IF('Battery Design'!G62="microHEV",'Cost Input'!$I59,IF('Battery Design'!G62="HEV-HP",'Cost Input'!$J59,'Cost Input'!$K59))</f>
        <v>200</v>
      </c>
      <c r="H113" s="302">
        <f>IF('Battery Design'!H62="microHEV",'Cost Input'!$I59,IF('Battery Design'!H62="HEV-HP",'Cost Input'!$J59,'Cost Input'!$K59))</f>
        <v>200</v>
      </c>
      <c r="I113" s="302">
        <f>IF('Battery Design'!I62="microHEV",'Cost Input'!$I59,IF('Battery Design'!I62="HEV-HP",'Cost Input'!$J59,'Cost Input'!$K59))</f>
        <v>200</v>
      </c>
      <c r="J113" s="302">
        <f>IF('Battery Design'!J62="microHEV",'Cost Input'!$I59,IF('Battery Design'!J62="HEV-HP",'Cost Input'!$J59,'Cost Input'!$K59))</f>
        <v>200</v>
      </c>
      <c r="K113" s="302">
        <f>IF('Battery Design'!K62="microHEV",'Cost Input'!$I59,IF('Battery Design'!K62="HEV-HP",'Cost Input'!$J59,'Cost Input'!$K59))</f>
        <v>200</v>
      </c>
      <c r="L113" s="302">
        <f>IF('Battery Design'!L62="microHEV",'Cost Input'!$I59,IF('Battery Design'!L62="HEV-HP",'Cost Input'!$J59,'Cost Input'!$K59))</f>
        <v>200</v>
      </c>
      <c r="M113" s="302">
        <f>IF('Battery Design'!M62="microHEV",'Cost Input'!$I59,IF('Battery Design'!M62="HEV-HP",'Cost Input'!$J59,'Cost Input'!$K59))</f>
        <v>200</v>
      </c>
      <c r="U113" s="256"/>
      <c r="Y113" s="302"/>
    </row>
    <row r="114" spans="2:25">
      <c r="B114" s="746" t="str">
        <f t="shared" si="34"/>
        <v>Cost of Pack Integration: Manual disconnect, $</v>
      </c>
      <c r="C114" s="256" t="s">
        <v>362</v>
      </c>
      <c r="D114" s="256"/>
      <c r="E114" s="256"/>
      <c r="F114" s="256"/>
      <c r="G114" s="287">
        <f>IF('Battery Design'!G62="microHEV",'Cost Input'!$I60,IF('Battery Design'!G62="HEV-HP",'Cost Input'!$J60,'Cost Input'!$K60))</f>
        <v>15</v>
      </c>
      <c r="H114" s="287">
        <f>IF('Battery Design'!H62="microHEV",'Cost Input'!$I60,IF('Battery Design'!H62="HEV-HP",'Cost Input'!$J60,'Cost Input'!$K60))</f>
        <v>15</v>
      </c>
      <c r="I114" s="287">
        <f>IF('Battery Design'!I62="microHEV",'Cost Input'!$I60,IF('Battery Design'!I62="HEV-HP",'Cost Input'!$J60,'Cost Input'!$K60))</f>
        <v>15</v>
      </c>
      <c r="J114" s="287">
        <f>IF('Battery Design'!J62="microHEV",'Cost Input'!$I60,IF('Battery Design'!J62="HEV-HP",'Cost Input'!$J60,'Cost Input'!$K60))</f>
        <v>15</v>
      </c>
      <c r="K114" s="287">
        <f>IF('Battery Design'!K62="microHEV",'Cost Input'!$I60,IF('Battery Design'!K62="HEV-HP",'Cost Input'!$J60,'Cost Input'!$K60))</f>
        <v>15</v>
      </c>
      <c r="L114" s="287">
        <f>IF('Battery Design'!L62="microHEV",'Cost Input'!$I60,IF('Battery Design'!L62="HEV-HP",'Cost Input'!$J60,'Cost Input'!$K60))</f>
        <v>15</v>
      </c>
      <c r="M114" s="287">
        <f>IF('Battery Design'!M62="microHEV",'Cost Input'!$I60,IF('Battery Design'!M62="HEV-HP",'Cost Input'!$J60,'Cost Input'!$K60))</f>
        <v>15</v>
      </c>
      <c r="U114" s="256"/>
      <c r="Y114" s="302"/>
    </row>
    <row r="115" spans="2:25">
      <c r="B115" s="746" t="str">
        <f t="shared" si="34"/>
        <v>Cost of Pack Integration: Additional for parallel modules, $</v>
      </c>
      <c r="C115" s="256" t="s">
        <v>702</v>
      </c>
      <c r="D115" s="256"/>
      <c r="E115" s="256"/>
      <c r="F115" s="256"/>
      <c r="G115" s="303">
        <f>'Cost Input'!$K61*('Battery Design'!G73-1)</f>
        <v>0</v>
      </c>
      <c r="H115" s="303">
        <f>'Cost Input'!$K61*('Battery Design'!H73-1)</f>
        <v>0</v>
      </c>
      <c r="I115" s="303">
        <f>'Cost Input'!$K61*('Battery Design'!I73-1)</f>
        <v>0</v>
      </c>
      <c r="J115" s="303">
        <f>'Cost Input'!$K61*('Battery Design'!J73-1)</f>
        <v>0</v>
      </c>
      <c r="K115" s="303">
        <f>'Cost Input'!$K61*('Battery Design'!K73-1)</f>
        <v>0</v>
      </c>
      <c r="L115" s="303">
        <f>'Cost Input'!$K61*('Battery Design'!L73-1)</f>
        <v>0</v>
      </c>
      <c r="M115" s="303">
        <f>'Cost Input'!$K61*('Battery Design'!M73-1)</f>
        <v>0</v>
      </c>
      <c r="U115" s="256"/>
      <c r="Y115" s="287"/>
    </row>
    <row r="116" spans="2:25">
      <c r="B116" s="746" t="str">
        <f t="shared" si="34"/>
        <v>Cost of Pack Integration: Total cost of battery management unit</v>
      </c>
      <c r="C116" s="256" t="s">
        <v>571</v>
      </c>
      <c r="D116" s="256"/>
      <c r="E116" s="256"/>
      <c r="F116" s="256"/>
      <c r="G116" s="302">
        <f>BMU!AE73</f>
        <v>589.46061382423511</v>
      </c>
      <c r="H116" s="302">
        <f>BMU!AF73</f>
        <v>436.86956729686773</v>
      </c>
      <c r="I116" s="302">
        <f>BMU!AG73</f>
        <v>419.51033695163892</v>
      </c>
      <c r="J116" s="302">
        <f>BMU!AH73</f>
        <v>407.6137192863871</v>
      </c>
      <c r="K116" s="302">
        <f>BMU!AI73</f>
        <v>398.61881299781658</v>
      </c>
      <c r="L116" s="302">
        <f>BMU!AJ73</f>
        <v>382.77949546973497</v>
      </c>
      <c r="M116" s="302">
        <f>BMU!AK73</f>
        <v>371.92450357420404</v>
      </c>
      <c r="N116" s="302"/>
      <c r="O116" s="522"/>
      <c r="P116" s="522"/>
      <c r="Q116" s="522"/>
      <c r="R116" s="522"/>
      <c r="S116" s="522"/>
      <c r="T116" s="522"/>
      <c r="U116" s="522"/>
      <c r="V116" s="242"/>
      <c r="Y116" s="287"/>
    </row>
    <row r="117" spans="2:25" ht="16">
      <c r="B117" s="13" t="s">
        <v>374</v>
      </c>
      <c r="C117" s="256"/>
      <c r="D117" s="256"/>
      <c r="E117" s="256"/>
      <c r="F117" s="256"/>
      <c r="G117" s="302"/>
      <c r="H117" s="302"/>
      <c r="I117" s="302"/>
      <c r="J117" s="302"/>
      <c r="K117" s="302"/>
      <c r="L117" s="302"/>
      <c r="M117" s="302"/>
      <c r="U117" s="256"/>
      <c r="Y117" s="287"/>
    </row>
    <row r="118" spans="2:25" s="256" customFormat="1">
      <c r="C118" s="257" t="s">
        <v>367</v>
      </c>
      <c r="G118" s="302">
        <f ca="1">IF(Thermal!G67="CA",0,ROUNDUP('Battery Design'!G184,-3)/1000*IF('Battery Design'!G62="microHEV",'Cost Input'!$I65,IF('Battery Design'!G62="HEV-HP",'Cost Input'!$J65,'Cost Input'!$K65)))</f>
        <v>40</v>
      </c>
      <c r="H118" s="302">
        <f ca="1">IF(Thermal!H67="CA",0,ROUNDUP('Battery Design'!H184,-3)/1000*IF('Battery Design'!H62="microHEV",'Cost Input'!$I65,IF('Battery Design'!H62="HEV-HP",'Cost Input'!$J65,'Cost Input'!$K65)))</f>
        <v>40</v>
      </c>
      <c r="I118" s="302">
        <f ca="1">IF(Thermal!I67="CA",0,ROUNDUP('Battery Design'!I184,-3)/1000*IF('Battery Design'!I62="microHEV",'Cost Input'!$I65,IF('Battery Design'!I62="HEV-HP",'Cost Input'!$J65,'Cost Input'!$K65)))</f>
        <v>40</v>
      </c>
      <c r="J118" s="302">
        <f ca="1">IF(Thermal!J67="CA",0,ROUNDUP('Battery Design'!J184,-3)/1000*IF('Battery Design'!J62="microHEV",'Cost Input'!$I65,IF('Battery Design'!J62="HEV-HP",'Cost Input'!$J65,'Cost Input'!$K65)))</f>
        <v>40</v>
      </c>
      <c r="K118" s="302">
        <f ca="1">IF(Thermal!K67="CA",0,ROUNDUP('Battery Design'!K184,-3)/1000*IF('Battery Design'!K62="microHEV",'Cost Input'!$I65,IF('Battery Design'!K62="HEV-HP",'Cost Input'!$J65,'Cost Input'!$K65)))</f>
        <v>40</v>
      </c>
      <c r="L118" s="302">
        <f ca="1">IF(Thermal!L67="CA",0,ROUNDUP('Battery Design'!L184,-3)/1000*IF('Battery Design'!L62="microHEV",'Cost Input'!$I65,IF('Battery Design'!L62="HEV-HP",'Cost Input'!$J65,'Cost Input'!$K65)))</f>
        <v>40</v>
      </c>
      <c r="M118" s="302">
        <f ca="1">IF(Thermal!M67="CA",0,ROUNDUP('Battery Design'!M184,-3)/1000*IF('Battery Design'!M62="microHEV",'Cost Input'!$I65,IF('Battery Design'!M62="HEV-HP",'Cost Input'!$J65,'Cost Input'!$K65)))</f>
        <v>40</v>
      </c>
    </row>
    <row r="119" spans="2:25">
      <c r="C119" s="256" t="s">
        <v>458</v>
      </c>
      <c r="D119" s="256"/>
      <c r="E119" s="256"/>
      <c r="F119" s="256"/>
      <c r="G119" s="302">
        <f>IF('Battery Design'!G56&gt;1,('Battery Design'!G56-1)*'Cost Input'!$K67,0)</f>
        <v>0</v>
      </c>
      <c r="H119" s="302">
        <f>IF('Battery Design'!H56&gt;1,('Battery Design'!H56-1)*'Cost Input'!$K67,0)</f>
        <v>0</v>
      </c>
      <c r="I119" s="302">
        <f>IF('Battery Design'!I56&gt;1,('Battery Design'!I56-1)*'Cost Input'!$K67,0)</f>
        <v>0</v>
      </c>
      <c r="J119" s="302">
        <f>IF('Battery Design'!J56&gt;1,('Battery Design'!J56-1)*'Cost Input'!$K67,0)</f>
        <v>0</v>
      </c>
      <c r="K119" s="302">
        <f>IF('Battery Design'!K56&gt;1,('Battery Design'!K56-1)*'Cost Input'!$K67,0)</f>
        <v>0</v>
      </c>
      <c r="L119" s="302">
        <f>IF('Battery Design'!L56&gt;1,('Battery Design'!L56-1)*'Cost Input'!$K67,0)</f>
        <v>0</v>
      </c>
      <c r="M119" s="302">
        <f>IF('Battery Design'!M56&gt;1,('Battery Design'!M56-1)*'Cost Input'!$K67,0)</f>
        <v>0</v>
      </c>
    </row>
    <row r="120" spans="2:25">
      <c r="C120" s="256" t="s">
        <v>584</v>
      </c>
      <c r="D120" s="256"/>
      <c r="E120" s="256"/>
      <c r="F120" s="256"/>
      <c r="G120" s="302">
        <f ca="1">SUM(G118:G119)</f>
        <v>40</v>
      </c>
      <c r="H120" s="302">
        <f t="shared" ref="H120:M120" ca="1" si="35">SUM(H118:H119)</f>
        <v>40</v>
      </c>
      <c r="I120" s="302">
        <f t="shared" ca="1" si="35"/>
        <v>40</v>
      </c>
      <c r="J120" s="302">
        <f t="shared" ca="1" si="35"/>
        <v>40</v>
      </c>
      <c r="K120" s="302">
        <f t="shared" ca="1" si="35"/>
        <v>40</v>
      </c>
      <c r="L120" s="302">
        <f t="shared" ca="1" si="35"/>
        <v>40</v>
      </c>
      <c r="M120" s="302">
        <f t="shared" ca="1" si="35"/>
        <v>40</v>
      </c>
    </row>
    <row r="121" spans="2:25">
      <c r="B121" s="256"/>
      <c r="C121" s="256"/>
      <c r="D121" s="256"/>
      <c r="E121" s="256"/>
      <c r="F121" s="256"/>
      <c r="G121" s="302"/>
      <c r="H121" s="302"/>
      <c r="I121" s="302"/>
      <c r="J121" s="302"/>
      <c r="K121" s="302"/>
      <c r="L121" s="302"/>
      <c r="M121" s="302"/>
    </row>
    <row r="122" spans="2:25" ht="16">
      <c r="B122" s="13" t="s">
        <v>48</v>
      </c>
      <c r="C122" s="13"/>
      <c r="D122" s="13"/>
      <c r="E122" s="256"/>
      <c r="F122" s="256"/>
      <c r="G122" s="201"/>
      <c r="H122" s="201"/>
      <c r="I122" s="201"/>
      <c r="J122" s="201"/>
      <c r="K122" s="201"/>
      <c r="L122" s="201"/>
      <c r="M122" s="201"/>
    </row>
    <row r="123" spans="2:25" ht="14">
      <c r="B123" s="257"/>
      <c r="C123" s="257"/>
      <c r="D123" s="257"/>
      <c r="E123" s="216" t="s">
        <v>28</v>
      </c>
      <c r="F123" s="48"/>
      <c r="G123" s="289"/>
      <c r="H123" s="289"/>
      <c r="I123" s="289"/>
      <c r="J123" s="289"/>
      <c r="K123" s="289"/>
      <c r="L123" s="289"/>
      <c r="M123" s="289"/>
    </row>
    <row r="124" spans="2:25" ht="14">
      <c r="B124" s="215" t="s">
        <v>100</v>
      </c>
      <c r="C124" s="290"/>
      <c r="D124" s="290"/>
      <c r="E124" s="217" t="s">
        <v>50</v>
      </c>
      <c r="F124" s="218" t="s">
        <v>30</v>
      </c>
      <c r="G124" s="291"/>
      <c r="H124" s="291"/>
      <c r="I124" s="291"/>
      <c r="J124" s="291"/>
      <c r="K124" s="291"/>
      <c r="L124" s="291"/>
      <c r="M124" s="291"/>
    </row>
    <row r="125" spans="2:25">
      <c r="B125" s="255" t="s">
        <v>176</v>
      </c>
      <c r="C125" s="255"/>
      <c r="D125" s="255"/>
      <c r="E125" s="256"/>
      <c r="F125" s="286"/>
      <c r="G125" s="256"/>
      <c r="H125" s="256"/>
      <c r="I125" s="256"/>
      <c r="J125" s="256"/>
      <c r="K125" s="256"/>
      <c r="L125" s="256"/>
      <c r="M125" s="256"/>
    </row>
    <row r="126" spans="2:25">
      <c r="C126" s="256" t="s">
        <v>101</v>
      </c>
      <c r="D126" s="256"/>
      <c r="E126" s="195"/>
      <c r="F126" s="286"/>
      <c r="G126" s="304">
        <f ca="1">G6/'Cost Input'!$K19</f>
        <v>1.6666666666666659E-2</v>
      </c>
      <c r="H126" s="304">
        <f ca="1">H6/'Cost Input'!$K19</f>
        <v>0.3333333333333332</v>
      </c>
      <c r="I126" s="304">
        <f ca="1">I6/'Cost Input'!$K19</f>
        <v>0.49999999999999978</v>
      </c>
      <c r="J126" s="304">
        <f ca="1">J6/'Cost Input'!$K19</f>
        <v>0.66666666666666641</v>
      </c>
      <c r="K126" s="304">
        <f ca="1">K6/'Cost Input'!$K19</f>
        <v>0.83333333333333304</v>
      </c>
      <c r="L126" s="304">
        <f ca="1">L6/'Cost Input'!$K19</f>
        <v>1.2499999999999996</v>
      </c>
      <c r="M126" s="304">
        <f ca="1">M6/'Cost Input'!$K19</f>
        <v>1.6666666666666661</v>
      </c>
    </row>
    <row r="127" spans="2:25">
      <c r="C127" s="256" t="s">
        <v>1187</v>
      </c>
      <c r="D127" s="256"/>
      <c r="E127" s="297">
        <f>'Cost Input'!E75</f>
        <v>24000</v>
      </c>
      <c r="F127" s="300">
        <f>'Cost Input'!F75</f>
        <v>0.4</v>
      </c>
      <c r="G127" s="286">
        <f t="shared" ref="G127:M129" ca="1" si="36">$E127*G$126^$F127</f>
        <v>4666.0645399044915</v>
      </c>
      <c r="H127" s="286">
        <f t="shared" ca="1" si="36"/>
        <v>15465.4563594541</v>
      </c>
      <c r="I127" s="286">
        <f t="shared" ca="1" si="36"/>
        <v>18188.598798124774</v>
      </c>
      <c r="J127" s="286">
        <f t="shared" ca="1" si="36"/>
        <v>20406.79201001265</v>
      </c>
      <c r="K127" s="286">
        <f t="shared" ca="1" si="36"/>
        <v>22312.012434596545</v>
      </c>
      <c r="L127" s="286">
        <f t="shared" ca="1" si="36"/>
        <v>26240.689774638668</v>
      </c>
      <c r="M127" s="286">
        <f t="shared" ca="1" si="36"/>
        <v>29440.876912713327</v>
      </c>
    </row>
    <row r="128" spans="2:25">
      <c r="C128" s="256" t="s">
        <v>1279</v>
      </c>
      <c r="D128" s="256"/>
      <c r="E128" s="305">
        <f>'Cost Input'!E76</f>
        <v>8</v>
      </c>
      <c r="F128" s="300">
        <f>'Cost Input'!F76</f>
        <v>0.6</v>
      </c>
      <c r="G128" s="306">
        <f t="shared" ca="1" si="36"/>
        <v>0.68580277290067215</v>
      </c>
      <c r="H128" s="306">
        <f t="shared" ca="1" si="36"/>
        <v>4.138254863774292</v>
      </c>
      <c r="I128" s="306">
        <f t="shared" ca="1" si="36"/>
        <v>5.2780316430915759</v>
      </c>
      <c r="J128" s="306">
        <f t="shared" ca="1" si="36"/>
        <v>6.2724214534649239</v>
      </c>
      <c r="K128" s="306">
        <f t="shared" ca="1" si="36"/>
        <v>7.1710250462171325</v>
      </c>
      <c r="L128" s="306">
        <f t="shared" ca="1" si="36"/>
        <v>9.146101038546524</v>
      </c>
      <c r="M128" s="306">
        <f t="shared" ca="1" si="36"/>
        <v>10.869241461412301</v>
      </c>
    </row>
    <row r="129" spans="2:13">
      <c r="C129" s="256" t="s">
        <v>1276</v>
      </c>
      <c r="D129" s="256"/>
      <c r="E129" s="297">
        <f>'Cost Input'!E77</f>
        <v>1600</v>
      </c>
      <c r="F129" s="300">
        <f>'Cost Input'!F77</f>
        <v>0.5</v>
      </c>
      <c r="G129" s="286">
        <f t="shared" ca="1" si="36"/>
        <v>206.55911179772889</v>
      </c>
      <c r="H129" s="286">
        <f t="shared" ca="1" si="36"/>
        <v>923.76043070340097</v>
      </c>
      <c r="I129" s="286">
        <f t="shared" ca="1" si="36"/>
        <v>1131.3708498984759</v>
      </c>
      <c r="J129" s="286">
        <f t="shared" ca="1" si="36"/>
        <v>1306.3945294843616</v>
      </c>
      <c r="K129" s="286">
        <f t="shared" ca="1" si="36"/>
        <v>1460.5934866804428</v>
      </c>
      <c r="L129" s="286">
        <f t="shared" ca="1" si="36"/>
        <v>1788.8543819998315</v>
      </c>
      <c r="M129" s="286">
        <f t="shared" ca="1" si="36"/>
        <v>2065.5911179772884</v>
      </c>
    </row>
    <row r="130" spans="2:13">
      <c r="B130" s="255" t="s">
        <v>54</v>
      </c>
      <c r="C130" s="255"/>
      <c r="D130" s="255"/>
      <c r="E130" s="297"/>
      <c r="F130" s="300"/>
      <c r="G130" s="195"/>
      <c r="H130" s="195"/>
      <c r="I130" s="195"/>
      <c r="J130" s="195"/>
      <c r="K130" s="195"/>
      <c r="L130" s="195"/>
      <c r="M130" s="195"/>
    </row>
    <row r="131" spans="2:13">
      <c r="B131" s="256" t="s">
        <v>55</v>
      </c>
      <c r="C131" s="256"/>
      <c r="D131" s="256"/>
      <c r="E131" s="297"/>
      <c r="F131" s="300"/>
      <c r="G131" s="195"/>
      <c r="H131" s="195"/>
      <c r="I131" s="195"/>
      <c r="J131" s="195"/>
      <c r="K131" s="195"/>
      <c r="L131" s="195"/>
      <c r="M131" s="195"/>
    </row>
    <row r="132" spans="2:13">
      <c r="C132" s="256" t="s">
        <v>102</v>
      </c>
      <c r="D132" s="256"/>
      <c r="E132" s="297"/>
      <c r="F132" s="300"/>
      <c r="G132" s="195"/>
      <c r="H132" s="195"/>
      <c r="I132" s="195"/>
      <c r="J132" s="195"/>
      <c r="K132" s="195"/>
      <c r="L132" s="195"/>
      <c r="M132" s="195"/>
    </row>
    <row r="133" spans="2:13">
      <c r="C133" s="256" t="s">
        <v>101</v>
      </c>
      <c r="D133" s="256"/>
      <c r="E133" s="297"/>
      <c r="F133" s="300"/>
      <c r="G133" s="307">
        <f ca="1">G10/'Cost Input'!$K23</f>
        <v>2.3101988199128728E-2</v>
      </c>
      <c r="H133" s="307">
        <f ca="1">H10/'Cost Input'!$K23</f>
        <v>0.46203976398257451</v>
      </c>
      <c r="I133" s="307">
        <f ca="1">I10/'Cost Input'!$K23</f>
        <v>0.69305964597386183</v>
      </c>
      <c r="J133" s="307">
        <f ca="1">J10/'Cost Input'!$K23</f>
        <v>0.92407952796514903</v>
      </c>
      <c r="K133" s="307">
        <f ca="1">K10/'Cost Input'!$K23</f>
        <v>1.1550994099564362</v>
      </c>
      <c r="L133" s="307">
        <f ca="1">L10/'Cost Input'!$K23</f>
        <v>1.7326491149346548</v>
      </c>
      <c r="M133" s="307">
        <f ca="1">M10/'Cost Input'!$K23</f>
        <v>2.3101988199128725</v>
      </c>
    </row>
    <row r="134" spans="2:13">
      <c r="C134" s="256" t="s">
        <v>1187</v>
      </c>
      <c r="D134" s="256"/>
      <c r="E134" s="297">
        <f>'Cost Input'!E82</f>
        <v>21600</v>
      </c>
      <c r="F134" s="300">
        <f>'Cost Input'!F82</f>
        <v>0.5</v>
      </c>
      <c r="G134" s="286">
        <f t="shared" ref="G134:M136" ca="1" si="37">$E134*G$133^$F134</f>
        <v>3283.0570531420099</v>
      </c>
      <c r="H134" s="286">
        <f t="shared" ca="1" si="37"/>
        <v>14682.277489671349</v>
      </c>
      <c r="I134" s="286">
        <f t="shared" ca="1" si="37"/>
        <v>17982.04405582316</v>
      </c>
      <c r="J134" s="286">
        <f t="shared" ca="1" si="37"/>
        <v>20763.875952418421</v>
      </c>
      <c r="K134" s="286">
        <f t="shared" ca="1" si="37"/>
        <v>23214.719052990386</v>
      </c>
      <c r="L134" s="286">
        <f t="shared" ca="1" si="37"/>
        <v>28432.108100946585</v>
      </c>
      <c r="M134" s="286">
        <f t="shared" ca="1" si="37"/>
        <v>32830.570531420097</v>
      </c>
    </row>
    <row r="135" spans="2:13">
      <c r="C135" s="256" t="s">
        <v>1279</v>
      </c>
      <c r="D135" s="256"/>
      <c r="E135" s="305">
        <f>'Cost Input'!E83</f>
        <v>7</v>
      </c>
      <c r="F135" s="300">
        <f>'Cost Input'!F83</f>
        <v>0.7</v>
      </c>
      <c r="G135" s="306">
        <f t="shared" ca="1" si="37"/>
        <v>0.50078647412519739</v>
      </c>
      <c r="H135" s="306">
        <f t="shared" ca="1" si="37"/>
        <v>4.0773086387623758</v>
      </c>
      <c r="I135" s="306">
        <f t="shared" ca="1" si="37"/>
        <v>5.4154863896358556</v>
      </c>
      <c r="J135" s="306">
        <f t="shared" ca="1" si="37"/>
        <v>6.6236074250374406</v>
      </c>
      <c r="K135" s="306">
        <f t="shared" ca="1" si="37"/>
        <v>7.7433982040658194</v>
      </c>
      <c r="L135" s="306">
        <f t="shared" ca="1" si="37"/>
        <v>10.28479109601521</v>
      </c>
      <c r="M135" s="306">
        <f t="shared" ca="1" si="37"/>
        <v>12.579187494386066</v>
      </c>
    </row>
    <row r="136" spans="2:13">
      <c r="C136" s="256" t="s">
        <v>1276</v>
      </c>
      <c r="D136" s="256"/>
      <c r="E136" s="297">
        <f>'Cost Input'!E84</f>
        <v>700</v>
      </c>
      <c r="F136" s="300">
        <f>'Cost Input'!F84</f>
        <v>0.6</v>
      </c>
      <c r="G136" s="286">
        <f t="shared" ca="1" si="37"/>
        <v>72.994082592370603</v>
      </c>
      <c r="H136" s="286">
        <f t="shared" ca="1" si="37"/>
        <v>440.45916588670588</v>
      </c>
      <c r="I136" s="286">
        <f t="shared" ca="1" si="37"/>
        <v>561.7724116971043</v>
      </c>
      <c r="J136" s="286">
        <f t="shared" ca="1" si="37"/>
        <v>667.61125460583173</v>
      </c>
      <c r="K136" s="286">
        <f t="shared" ca="1" si="37"/>
        <v>763.25499863696837</v>
      </c>
      <c r="L136" s="286">
        <f t="shared" ca="1" si="37"/>
        <v>973.47412548669422</v>
      </c>
      <c r="M136" s="286">
        <f t="shared" ca="1" si="37"/>
        <v>1156.8782459059244</v>
      </c>
    </row>
    <row r="137" spans="2:13">
      <c r="C137" s="256" t="s">
        <v>103</v>
      </c>
      <c r="D137" s="256"/>
      <c r="E137" s="297"/>
      <c r="F137" s="300"/>
      <c r="G137" s="195"/>
      <c r="H137" s="195"/>
      <c r="I137" s="195"/>
      <c r="J137" s="195"/>
      <c r="K137" s="195"/>
      <c r="L137" s="195"/>
      <c r="M137" s="195"/>
    </row>
    <row r="138" spans="2:13">
      <c r="C138" s="256" t="s">
        <v>101</v>
      </c>
      <c r="D138" s="256"/>
      <c r="E138" s="297"/>
      <c r="F138" s="300"/>
      <c r="G138" s="307">
        <f ca="1">G11/'Cost Input'!$K24</f>
        <v>1.7583808707295084E-3</v>
      </c>
      <c r="H138" s="307">
        <f ca="1">H11/'Cost Input'!$K24</f>
        <v>3.5167617414590166E-2</v>
      </c>
      <c r="I138" s="307">
        <f ca="1">I11/'Cost Input'!$K24</f>
        <v>5.2751426121885249E-2</v>
      </c>
      <c r="J138" s="307">
        <f ca="1">J11/'Cost Input'!$K24</f>
        <v>7.0335234829180332E-2</v>
      </c>
      <c r="K138" s="307">
        <f ca="1">K11/'Cost Input'!$K24</f>
        <v>8.7919043536475408E-2</v>
      </c>
      <c r="L138" s="307">
        <f ca="1">L11/'Cost Input'!$K24</f>
        <v>0.13187856530471312</v>
      </c>
      <c r="M138" s="307">
        <f ca="1">M11/'Cost Input'!$K24</f>
        <v>0.17583808707295082</v>
      </c>
    </row>
    <row r="139" spans="2:13">
      <c r="C139" s="256" t="s">
        <v>1187</v>
      </c>
      <c r="D139" s="256"/>
      <c r="E139" s="297">
        <f>'Cost Input'!E87</f>
        <v>0</v>
      </c>
      <c r="F139" s="300">
        <f>'Cost Input'!F87</f>
        <v>0.5</v>
      </c>
      <c r="G139" s="286">
        <f t="shared" ref="G139:M141" ca="1" si="38">$E139*G$138^$F139</f>
        <v>0</v>
      </c>
      <c r="H139" s="286">
        <f t="shared" ca="1" si="38"/>
        <v>0</v>
      </c>
      <c r="I139" s="286">
        <f t="shared" ca="1" si="38"/>
        <v>0</v>
      </c>
      <c r="J139" s="286">
        <f t="shared" ca="1" si="38"/>
        <v>0</v>
      </c>
      <c r="K139" s="286">
        <f t="shared" ca="1" si="38"/>
        <v>0</v>
      </c>
      <c r="L139" s="286">
        <f t="shared" ca="1" si="38"/>
        <v>0</v>
      </c>
      <c r="M139" s="286">
        <f t="shared" ca="1" si="38"/>
        <v>0</v>
      </c>
    </row>
    <row r="140" spans="2:13">
      <c r="C140" s="256" t="s">
        <v>1279</v>
      </c>
      <c r="D140" s="256"/>
      <c r="E140" s="305">
        <f>'Cost Input'!E88</f>
        <v>0</v>
      </c>
      <c r="F140" s="300">
        <f>'Cost Input'!F88</f>
        <v>0.7</v>
      </c>
      <c r="G140" s="306">
        <f t="shared" ca="1" si="38"/>
        <v>0</v>
      </c>
      <c r="H140" s="306">
        <f t="shared" ca="1" si="38"/>
        <v>0</v>
      </c>
      <c r="I140" s="306">
        <f t="shared" ca="1" si="38"/>
        <v>0</v>
      </c>
      <c r="J140" s="306">
        <f t="shared" ca="1" si="38"/>
        <v>0</v>
      </c>
      <c r="K140" s="306">
        <f t="shared" ca="1" si="38"/>
        <v>0</v>
      </c>
      <c r="L140" s="306">
        <f t="shared" ca="1" si="38"/>
        <v>0</v>
      </c>
      <c r="M140" s="306">
        <f t="shared" ca="1" si="38"/>
        <v>0</v>
      </c>
    </row>
    <row r="141" spans="2:13">
      <c r="C141" s="256" t="s">
        <v>1276</v>
      </c>
      <c r="D141" s="256"/>
      <c r="E141" s="297">
        <f>'Cost Input'!E89</f>
        <v>0</v>
      </c>
      <c r="F141" s="300">
        <f>'Cost Input'!F89</f>
        <v>0.6</v>
      </c>
      <c r="G141" s="286">
        <f t="shared" ca="1" si="38"/>
        <v>0</v>
      </c>
      <c r="H141" s="286">
        <f t="shared" ca="1" si="38"/>
        <v>0</v>
      </c>
      <c r="I141" s="286">
        <f t="shared" ca="1" si="38"/>
        <v>0</v>
      </c>
      <c r="J141" s="286">
        <f t="shared" ca="1" si="38"/>
        <v>0</v>
      </c>
      <c r="K141" s="286">
        <f t="shared" ca="1" si="38"/>
        <v>0</v>
      </c>
      <c r="L141" s="286">
        <f t="shared" ca="1" si="38"/>
        <v>0</v>
      </c>
      <c r="M141" s="286">
        <f t="shared" ca="1" si="38"/>
        <v>0</v>
      </c>
    </row>
    <row r="142" spans="2:13">
      <c r="C142" s="256" t="s">
        <v>62</v>
      </c>
      <c r="D142" s="256"/>
      <c r="E142" s="297"/>
      <c r="F142" s="300"/>
      <c r="G142" s="195"/>
      <c r="H142" s="195"/>
      <c r="I142" s="195"/>
      <c r="J142" s="195"/>
      <c r="K142" s="195"/>
      <c r="L142" s="195"/>
      <c r="M142" s="195"/>
    </row>
    <row r="143" spans="2:13">
      <c r="C143" s="256" t="s">
        <v>104</v>
      </c>
      <c r="D143" s="256"/>
      <c r="E143" s="297"/>
      <c r="F143" s="300"/>
      <c r="G143" s="195"/>
      <c r="H143" s="195"/>
      <c r="I143" s="195"/>
      <c r="J143" s="195"/>
      <c r="K143" s="195"/>
      <c r="L143" s="195"/>
      <c r="M143" s="195"/>
    </row>
    <row r="144" spans="2:13">
      <c r="C144" s="256" t="s">
        <v>101</v>
      </c>
      <c r="D144" s="256"/>
      <c r="E144" s="297"/>
      <c r="F144" s="300"/>
      <c r="G144" s="307">
        <f ca="1">G9/'Cost Input'!$K22</f>
        <v>1.1160286800844707E-2</v>
      </c>
      <c r="H144" s="307">
        <f ca="1">H9/'Cost Input'!$K22</f>
        <v>0.22320573601689422</v>
      </c>
      <c r="I144" s="307">
        <f ca="1">I9/'Cost Input'!$K22</f>
        <v>0.33480860402534124</v>
      </c>
      <c r="J144" s="307">
        <f ca="1">J9/'Cost Input'!$K22</f>
        <v>0.44641147203378845</v>
      </c>
      <c r="K144" s="307">
        <f ca="1">K9/'Cost Input'!$K22</f>
        <v>0.55801434004223549</v>
      </c>
      <c r="L144" s="307">
        <f ca="1">L9/'Cost Input'!$K22</f>
        <v>0.83702151006335324</v>
      </c>
      <c r="M144" s="307">
        <f ca="1">M9/'Cost Input'!$K22</f>
        <v>1.116028680084471</v>
      </c>
    </row>
    <row r="145" spans="3:16" ht="15">
      <c r="C145" s="256" t="s">
        <v>669</v>
      </c>
      <c r="D145" s="256"/>
      <c r="E145" s="308">
        <f>'Cost Input'!E93</f>
        <v>0.20310837050216513</v>
      </c>
      <c r="F145" s="305"/>
      <c r="G145" s="307">
        <f t="shared" ref="G145:M145" ca="1" si="39">G50/G9</f>
        <v>0.15591237570674191</v>
      </c>
      <c r="H145" s="307">
        <f t="shared" ca="1" si="39"/>
        <v>0.15591237570674182</v>
      </c>
      <c r="I145" s="307">
        <f t="shared" ca="1" si="39"/>
        <v>0.15591237570674185</v>
      </c>
      <c r="J145" s="307">
        <f t="shared" ca="1" si="39"/>
        <v>0.15591237570674182</v>
      </c>
      <c r="K145" s="307">
        <f t="shared" ca="1" si="39"/>
        <v>0.15591237570674188</v>
      </c>
      <c r="L145" s="307">
        <f t="shared" ca="1" si="39"/>
        <v>0.15591237570674182</v>
      </c>
      <c r="M145" s="307">
        <f t="shared" ca="1" si="39"/>
        <v>0.15591237570674188</v>
      </c>
      <c r="P145" s="168"/>
    </row>
    <row r="146" spans="3:16">
      <c r="C146" s="256" t="s">
        <v>1187</v>
      </c>
      <c r="D146" s="256"/>
      <c r="E146" s="297">
        <f>'Cost Input'!E94</f>
        <v>36000</v>
      </c>
      <c r="F146" s="300">
        <f>'Cost Input'!F94</f>
        <v>0.5</v>
      </c>
      <c r="G146" s="286">
        <f t="shared" ref="G146:M146" ca="1" si="40">$E146*G$144^$F146</f>
        <v>3803.1213093845349</v>
      </c>
      <c r="H146" s="286">
        <f t="shared" ca="1" si="40"/>
        <v>17008.075548923662</v>
      </c>
      <c r="I146" s="286">
        <f t="shared" ca="1" si="40"/>
        <v>20830.553300784937</v>
      </c>
      <c r="J146" s="286">
        <f t="shared" ca="1" si="40"/>
        <v>24053.051111154065</v>
      </c>
      <c r="K146" s="286">
        <f t="shared" ca="1" si="40"/>
        <v>26892.128675408669</v>
      </c>
      <c r="L146" s="286">
        <f t="shared" ca="1" si="40"/>
        <v>32935.996676009454</v>
      </c>
      <c r="M146" s="286">
        <f t="shared" ca="1" si="40"/>
        <v>38031.213093845356</v>
      </c>
    </row>
    <row r="147" spans="3:16">
      <c r="C147" s="256" t="s">
        <v>1279</v>
      </c>
      <c r="D147" s="256"/>
      <c r="E147" s="305">
        <f>'Cost Input'!E95</f>
        <v>16</v>
      </c>
      <c r="F147" s="300">
        <f>'Cost Input'!F95</f>
        <v>0.8</v>
      </c>
      <c r="G147" s="306">
        <f t="shared" ref="G147:L147" ca="1" si="41">$E147*G$144^$F147*(G145/$E145)^0.2</f>
        <v>0.41618921362538236</v>
      </c>
      <c r="H147" s="306">
        <f t="shared" ca="1" si="41"/>
        <v>4.57209048638446</v>
      </c>
      <c r="I147" s="306">
        <f t="shared" ca="1" si="41"/>
        <v>6.3239412142581752</v>
      </c>
      <c r="J147" s="306">
        <f t="shared" ca="1" si="41"/>
        <v>7.9604718967256831</v>
      </c>
      <c r="K147" s="306">
        <f t="shared" ca="1" si="41"/>
        <v>9.5162714974274305</v>
      </c>
      <c r="L147" s="306">
        <f t="shared" ca="1" si="41"/>
        <v>13.162543853378851</v>
      </c>
      <c r="M147" s="306">
        <f ca="1">$E147*M$144^$F147*(M145/$E145)^0.2</f>
        <v>16.568791025128601</v>
      </c>
      <c r="O147" s="242"/>
      <c r="P147" s="168"/>
    </row>
    <row r="148" spans="3:16">
      <c r="C148" s="256" t="s">
        <v>1276</v>
      </c>
      <c r="D148" s="256"/>
      <c r="E148" s="297">
        <f>'Cost Input'!E96</f>
        <v>1200</v>
      </c>
      <c r="F148" s="300">
        <f>'Cost Input'!F96</f>
        <v>0.8</v>
      </c>
      <c r="G148" s="286">
        <f t="shared" ref="G148:M148" ca="1" si="42">$E148*G$144^$F148</f>
        <v>32.909518666264383</v>
      </c>
      <c r="H148" s="286">
        <f t="shared" ca="1" si="42"/>
        <v>361.53098705954227</v>
      </c>
      <c r="I148" s="286">
        <f t="shared" ca="1" si="42"/>
        <v>500.05587512010294</v>
      </c>
      <c r="J148" s="286">
        <f t="shared" ca="1" si="42"/>
        <v>629.46200886737654</v>
      </c>
      <c r="K148" s="286">
        <f t="shared" ca="1" si="42"/>
        <v>752.48445712896751</v>
      </c>
      <c r="L148" s="286">
        <f t="shared" ca="1" si="42"/>
        <v>1040.8078067784809</v>
      </c>
      <c r="M148" s="286">
        <f t="shared" ca="1" si="42"/>
        <v>1310.1515360504015</v>
      </c>
    </row>
    <row r="149" spans="3:16">
      <c r="C149" s="256" t="s">
        <v>105</v>
      </c>
      <c r="D149" s="256"/>
      <c r="E149" s="297"/>
      <c r="F149" s="300"/>
      <c r="G149" s="195"/>
      <c r="H149" s="195"/>
      <c r="I149" s="195"/>
      <c r="J149" s="195"/>
      <c r="K149" s="195"/>
      <c r="L149" s="195"/>
      <c r="M149" s="195"/>
    </row>
    <row r="150" spans="3:16">
      <c r="C150" s="256" t="s">
        <v>101</v>
      </c>
      <c r="D150" s="256"/>
      <c r="E150" s="297"/>
      <c r="F150" s="300"/>
      <c r="G150" s="307">
        <f t="shared" ref="G150:L150" ca="1" si="43">G144</f>
        <v>1.1160286800844707E-2</v>
      </c>
      <c r="H150" s="307">
        <f t="shared" ca="1" si="43"/>
        <v>0.22320573601689422</v>
      </c>
      <c r="I150" s="307">
        <f t="shared" ca="1" si="43"/>
        <v>0.33480860402534124</v>
      </c>
      <c r="J150" s="307">
        <f t="shared" ca="1" si="43"/>
        <v>0.44641147203378845</v>
      </c>
      <c r="K150" s="307">
        <f t="shared" ca="1" si="43"/>
        <v>0.55801434004223549</v>
      </c>
      <c r="L150" s="307">
        <f t="shared" ca="1" si="43"/>
        <v>0.83702151006335324</v>
      </c>
      <c r="M150" s="307">
        <f ca="1">M144</f>
        <v>1.116028680084471</v>
      </c>
    </row>
    <row r="151" spans="3:16" ht="15">
      <c r="C151" s="256" t="s">
        <v>512</v>
      </c>
      <c r="D151" s="256"/>
      <c r="E151" s="308">
        <f>'Cost Input'!E99</f>
        <v>0.12252924698906503</v>
      </c>
      <c r="F151" s="305"/>
      <c r="G151" s="309">
        <f t="shared" ref="G151:M151" ca="1" si="44">G51/G9</f>
        <v>0</v>
      </c>
      <c r="H151" s="309">
        <f t="shared" ca="1" si="44"/>
        <v>0</v>
      </c>
      <c r="I151" s="309">
        <f t="shared" ca="1" si="44"/>
        <v>0</v>
      </c>
      <c r="J151" s="309">
        <f t="shared" ca="1" si="44"/>
        <v>0</v>
      </c>
      <c r="K151" s="309">
        <f t="shared" ca="1" si="44"/>
        <v>0</v>
      </c>
      <c r="L151" s="309">
        <f t="shared" ca="1" si="44"/>
        <v>0</v>
      </c>
      <c r="M151" s="309">
        <f t="shared" ca="1" si="44"/>
        <v>0</v>
      </c>
    </row>
    <row r="152" spans="3:16">
      <c r="C152" s="256" t="s">
        <v>1187</v>
      </c>
      <c r="D152" s="256"/>
      <c r="E152" s="297">
        <f>'Cost Input'!E100</f>
        <v>0</v>
      </c>
      <c r="F152" s="300">
        <f>'Cost Input'!F100</f>
        <v>0.5</v>
      </c>
      <c r="G152" s="286">
        <f t="shared" ref="G152:M152" ca="1" si="45">$E152*G$150^$F152</f>
        <v>0</v>
      </c>
      <c r="H152" s="286">
        <f t="shared" ca="1" si="45"/>
        <v>0</v>
      </c>
      <c r="I152" s="286">
        <f t="shared" ca="1" si="45"/>
        <v>0</v>
      </c>
      <c r="J152" s="286">
        <f t="shared" ca="1" si="45"/>
        <v>0</v>
      </c>
      <c r="K152" s="286">
        <f t="shared" ca="1" si="45"/>
        <v>0</v>
      </c>
      <c r="L152" s="286">
        <f t="shared" ca="1" si="45"/>
        <v>0</v>
      </c>
      <c r="M152" s="286">
        <f t="shared" ca="1" si="45"/>
        <v>0</v>
      </c>
    </row>
    <row r="153" spans="3:16">
      <c r="C153" s="256" t="s">
        <v>1279</v>
      </c>
      <c r="D153" s="256"/>
      <c r="E153" s="305">
        <f>'Cost Input'!E101</f>
        <v>0</v>
      </c>
      <c r="F153" s="300">
        <f>'Cost Input'!F101</f>
        <v>0.8</v>
      </c>
      <c r="G153" s="306">
        <f t="shared" ref="G153:L153" ca="1" si="46">$E153*G$144^$F153*(G151/$E151)^0.2</f>
        <v>0</v>
      </c>
      <c r="H153" s="306">
        <f t="shared" ca="1" si="46"/>
        <v>0</v>
      </c>
      <c r="I153" s="306">
        <f t="shared" ca="1" si="46"/>
        <v>0</v>
      </c>
      <c r="J153" s="306">
        <f t="shared" ca="1" si="46"/>
        <v>0</v>
      </c>
      <c r="K153" s="306">
        <f t="shared" ca="1" si="46"/>
        <v>0</v>
      </c>
      <c r="L153" s="306">
        <f t="shared" ca="1" si="46"/>
        <v>0</v>
      </c>
      <c r="M153" s="306">
        <f ca="1">$E153*M$144^$F153*(M151/$E151)^0.2</f>
        <v>0</v>
      </c>
    </row>
    <row r="154" spans="3:16">
      <c r="C154" s="256" t="s">
        <v>1276</v>
      </c>
      <c r="D154" s="256"/>
      <c r="E154" s="297">
        <f>'Cost Input'!E102</f>
        <v>0</v>
      </c>
      <c r="F154" s="300">
        <f>'Cost Input'!F102</f>
        <v>0.8</v>
      </c>
      <c r="G154" s="286">
        <f t="shared" ref="G154:M154" ca="1" si="47">$E154*G$150^$F154</f>
        <v>0</v>
      </c>
      <c r="H154" s="286">
        <f t="shared" ca="1" si="47"/>
        <v>0</v>
      </c>
      <c r="I154" s="286">
        <f t="shared" ca="1" si="47"/>
        <v>0</v>
      </c>
      <c r="J154" s="286">
        <f t="shared" ca="1" si="47"/>
        <v>0</v>
      </c>
      <c r="K154" s="286">
        <f t="shared" ca="1" si="47"/>
        <v>0</v>
      </c>
      <c r="L154" s="286">
        <f t="shared" ca="1" si="47"/>
        <v>0</v>
      </c>
      <c r="M154" s="286">
        <f t="shared" ca="1" si="47"/>
        <v>0</v>
      </c>
    </row>
    <row r="155" spans="3:16">
      <c r="C155" s="256" t="s">
        <v>227</v>
      </c>
      <c r="D155" s="256"/>
      <c r="E155" s="297"/>
      <c r="F155" s="300"/>
      <c r="G155" s="286"/>
      <c r="H155" s="286"/>
      <c r="I155" s="286"/>
      <c r="J155" s="286"/>
      <c r="K155" s="286"/>
      <c r="L155" s="286"/>
      <c r="M155" s="286"/>
    </row>
    <row r="156" spans="3:16">
      <c r="C156" s="256" t="s">
        <v>101</v>
      </c>
      <c r="D156" s="256"/>
      <c r="E156" s="297"/>
      <c r="F156" s="300"/>
      <c r="G156" s="307">
        <f ca="1">G12/'Cost Input'!$K25</f>
        <v>8.5669872905102355E-3</v>
      </c>
      <c r="H156" s="307">
        <f ca="1">H12/'Cost Input'!$K25</f>
        <v>0.17133974581020467</v>
      </c>
      <c r="I156" s="307">
        <f ca="1">I12/'Cost Input'!$K25</f>
        <v>0.25700961871530698</v>
      </c>
      <c r="J156" s="307">
        <f ca="1">J12/'Cost Input'!$K25</f>
        <v>0.34267949162040934</v>
      </c>
      <c r="K156" s="307">
        <f ca="1">K12/'Cost Input'!$K25</f>
        <v>0.42834936452551176</v>
      </c>
      <c r="L156" s="307">
        <f ca="1">L12/'Cost Input'!$K25</f>
        <v>0.64252404678826747</v>
      </c>
      <c r="M156" s="307">
        <f ca="1">M12/'Cost Input'!$K25</f>
        <v>0.85669872905102351</v>
      </c>
    </row>
    <row r="157" spans="3:16">
      <c r="C157" s="256" t="s">
        <v>1187</v>
      </c>
      <c r="D157" s="256"/>
      <c r="E157" s="297">
        <f>'Cost Input'!E105</f>
        <v>14400</v>
      </c>
      <c r="F157" s="300">
        <f>'Cost Input'!F105</f>
        <v>0.4</v>
      </c>
      <c r="G157" s="286">
        <f ca="1">$E157*G$156^$F157</f>
        <v>2145.3281980621055</v>
      </c>
      <c r="H157" s="286">
        <f t="shared" ref="H157:M159" ca="1" si="48">$E157*H$156^$F157</f>
        <v>7110.5916645796988</v>
      </c>
      <c r="I157" s="286">
        <f t="shared" ca="1" si="48"/>
        <v>8362.6176944509825</v>
      </c>
      <c r="J157" s="286">
        <f t="shared" ca="1" si="48"/>
        <v>9382.4819516887146</v>
      </c>
      <c r="K157" s="286">
        <f t="shared" ca="1" si="48"/>
        <v>10258.44992543375</v>
      </c>
      <c r="L157" s="286">
        <f t="shared" ca="1" si="48"/>
        <v>12064.747760922433</v>
      </c>
      <c r="M157" s="286">
        <f t="shared" ca="1" si="48"/>
        <v>13536.10582887744</v>
      </c>
    </row>
    <row r="158" spans="3:16">
      <c r="C158" s="256" t="s">
        <v>1279</v>
      </c>
      <c r="D158" s="256"/>
      <c r="E158" s="297">
        <f>'Cost Input'!E106</f>
        <v>15</v>
      </c>
      <c r="F158" s="300">
        <f>'Cost Input'!F106</f>
        <v>0.6</v>
      </c>
      <c r="G158" s="286">
        <f t="shared" ref="G158:G159" ca="1" si="49">$E158*G$156^$F158</f>
        <v>0.8625576526807216</v>
      </c>
      <c r="H158" s="286">
        <f t="shared" ca="1" si="48"/>
        <v>5.204824976711949</v>
      </c>
      <c r="I158" s="286">
        <f t="shared" ca="1" si="48"/>
        <v>6.6383612967674797</v>
      </c>
      <c r="J158" s="286">
        <f t="shared" ca="1" si="48"/>
        <v>7.8890394429893966</v>
      </c>
      <c r="K158" s="286">
        <f t="shared" ca="1" si="48"/>
        <v>9.0192439803324813</v>
      </c>
      <c r="L158" s="286">
        <f t="shared" ca="1" si="48"/>
        <v>11.503364749637724</v>
      </c>
      <c r="M158" s="286">
        <f t="shared" ca="1" si="48"/>
        <v>13.670617518389125</v>
      </c>
    </row>
    <row r="159" spans="3:16">
      <c r="C159" s="256" t="s">
        <v>1276</v>
      </c>
      <c r="D159" s="256"/>
      <c r="E159" s="297">
        <f>'Cost Input'!E107</f>
        <v>500</v>
      </c>
      <c r="F159" s="300">
        <f>'Cost Input'!F107</f>
        <v>0.6</v>
      </c>
      <c r="G159" s="286">
        <f t="shared" ca="1" si="49"/>
        <v>28.751921756024053</v>
      </c>
      <c r="H159" s="286">
        <f t="shared" ca="1" si="48"/>
        <v>173.49416589039828</v>
      </c>
      <c r="I159" s="286">
        <f t="shared" ca="1" si="48"/>
        <v>221.27870989224931</v>
      </c>
      <c r="J159" s="286">
        <f t="shared" ca="1" si="48"/>
        <v>262.96798143297991</v>
      </c>
      <c r="K159" s="286">
        <f t="shared" ca="1" si="48"/>
        <v>300.64146601108274</v>
      </c>
      <c r="L159" s="286">
        <f t="shared" ca="1" si="48"/>
        <v>383.4454916545908</v>
      </c>
      <c r="M159" s="286">
        <f t="shared" ca="1" si="48"/>
        <v>455.68725061297084</v>
      </c>
    </row>
    <row r="160" spans="3:16">
      <c r="C160" s="256" t="s">
        <v>180</v>
      </c>
      <c r="D160" s="256"/>
      <c r="E160" s="297"/>
      <c r="F160" s="300"/>
      <c r="G160" s="195"/>
      <c r="H160" s="195"/>
      <c r="I160" s="195"/>
      <c r="J160" s="195"/>
      <c r="K160" s="195"/>
      <c r="L160" s="195"/>
      <c r="M160" s="195"/>
    </row>
    <row r="161" spans="3:13">
      <c r="C161" s="256" t="s">
        <v>104</v>
      </c>
      <c r="D161" s="256"/>
      <c r="E161" s="297"/>
      <c r="F161" s="300"/>
      <c r="G161" s="195"/>
      <c r="H161" s="195"/>
      <c r="I161" s="195"/>
      <c r="J161" s="195"/>
      <c r="K161" s="195"/>
      <c r="L161" s="195"/>
      <c r="M161" s="195"/>
    </row>
    <row r="162" spans="3:13">
      <c r="C162" s="256" t="s">
        <v>101</v>
      </c>
      <c r="D162" s="256"/>
      <c r="E162" s="297"/>
      <c r="F162" s="300"/>
      <c r="G162" s="307">
        <f t="shared" ref="G162:L162" ca="1" si="50">G144</f>
        <v>1.1160286800844707E-2</v>
      </c>
      <c r="H162" s="307">
        <f t="shared" ca="1" si="50"/>
        <v>0.22320573601689422</v>
      </c>
      <c r="I162" s="307">
        <f t="shared" ca="1" si="50"/>
        <v>0.33480860402534124</v>
      </c>
      <c r="J162" s="307">
        <f t="shared" ca="1" si="50"/>
        <v>0.44641147203378845</v>
      </c>
      <c r="K162" s="307">
        <f t="shared" ca="1" si="50"/>
        <v>0.55801434004223549</v>
      </c>
      <c r="L162" s="307">
        <f t="shared" ca="1" si="50"/>
        <v>0.83702151006335324</v>
      </c>
      <c r="M162" s="307">
        <f ca="1">M144</f>
        <v>1.116028680084471</v>
      </c>
    </row>
    <row r="163" spans="3:13">
      <c r="C163" s="256" t="s">
        <v>1187</v>
      </c>
      <c r="D163" s="256"/>
      <c r="E163" s="297">
        <f>'Cost Input'!E111</f>
        <v>28800</v>
      </c>
      <c r="F163" s="300">
        <f>'Cost Input'!F111</f>
        <v>0.5</v>
      </c>
      <c r="G163" s="286">
        <f t="shared" ref="G163:M165" ca="1" si="51">$E163*G$162^$F163</f>
        <v>3042.4970475076279</v>
      </c>
      <c r="H163" s="286">
        <f t="shared" ca="1" si="51"/>
        <v>13606.460439138929</v>
      </c>
      <c r="I163" s="286">
        <f t="shared" ca="1" si="51"/>
        <v>16664.442640627949</v>
      </c>
      <c r="J163" s="286">
        <f t="shared" ca="1" si="51"/>
        <v>19242.440888923255</v>
      </c>
      <c r="K163" s="286">
        <f t="shared" ca="1" si="51"/>
        <v>21513.702940326933</v>
      </c>
      <c r="L163" s="286">
        <f t="shared" ca="1" si="51"/>
        <v>26348.797340807563</v>
      </c>
      <c r="M163" s="286">
        <f t="shared" ca="1" si="51"/>
        <v>30424.970475076287</v>
      </c>
    </row>
    <row r="164" spans="3:13">
      <c r="C164" s="256" t="s">
        <v>1279</v>
      </c>
      <c r="D164" s="256"/>
      <c r="E164" s="305">
        <f>'Cost Input'!E112</f>
        <v>2.5</v>
      </c>
      <c r="F164" s="300">
        <f>'Cost Input'!F112</f>
        <v>0.7</v>
      </c>
      <c r="G164" s="306">
        <f t="shared" ca="1" si="51"/>
        <v>0.10747631250591348</v>
      </c>
      <c r="H164" s="306">
        <f t="shared" ca="1" si="51"/>
        <v>0.87505178371317538</v>
      </c>
      <c r="I164" s="306">
        <f t="shared" ca="1" si="51"/>
        <v>1.1622448641424654</v>
      </c>
      <c r="J164" s="306">
        <f t="shared" ca="1" si="51"/>
        <v>1.42152581651365</v>
      </c>
      <c r="K164" s="306">
        <f t="shared" ca="1" si="51"/>
        <v>1.661849766792719</v>
      </c>
      <c r="L164" s="306">
        <f t="shared" ca="1" si="51"/>
        <v>2.2072709208536301</v>
      </c>
      <c r="M164" s="306">
        <f t="shared" ca="1" si="51"/>
        <v>2.6996829109228742</v>
      </c>
    </row>
    <row r="165" spans="3:13">
      <c r="C165" s="256" t="s">
        <v>1276</v>
      </c>
      <c r="D165" s="256"/>
      <c r="E165" s="297">
        <f>'Cost Input'!E113</f>
        <v>500</v>
      </c>
      <c r="F165" s="300">
        <f>'Cost Input'!F113</f>
        <v>0.6</v>
      </c>
      <c r="G165" s="286">
        <f t="shared" ca="1" si="51"/>
        <v>33.695757000668308</v>
      </c>
      <c r="H165" s="286">
        <f t="shared" ca="1" si="51"/>
        <v>203.32613953540871</v>
      </c>
      <c r="I165" s="286">
        <f t="shared" ca="1" si="51"/>
        <v>259.32713998111842</v>
      </c>
      <c r="J165" s="286">
        <f t="shared" ca="1" si="51"/>
        <v>308.18479809842376</v>
      </c>
      <c r="K165" s="286">
        <f t="shared" ca="1" si="51"/>
        <v>352.33616274403062</v>
      </c>
      <c r="L165" s="286">
        <f t="shared" ca="1" si="51"/>
        <v>449.37817442021259</v>
      </c>
      <c r="M165" s="286">
        <f t="shared" ca="1" si="51"/>
        <v>534.04175885183088</v>
      </c>
    </row>
    <row r="166" spans="3:13">
      <c r="C166" s="256" t="s">
        <v>105</v>
      </c>
      <c r="D166" s="256"/>
      <c r="E166" s="297"/>
      <c r="F166" s="300"/>
      <c r="G166" s="256"/>
      <c r="H166" s="256"/>
      <c r="I166" s="256"/>
      <c r="J166" s="256"/>
      <c r="K166" s="256"/>
      <c r="L166" s="256"/>
      <c r="M166" s="256"/>
    </row>
    <row r="167" spans="3:13">
      <c r="C167" s="256" t="s">
        <v>101</v>
      </c>
      <c r="D167" s="256"/>
      <c r="E167" s="297"/>
      <c r="F167" s="300"/>
      <c r="G167" s="310">
        <f t="shared" ref="G167:L167" ca="1" si="52">G150</f>
        <v>1.1160286800844707E-2</v>
      </c>
      <c r="H167" s="310">
        <f t="shared" ca="1" si="52"/>
        <v>0.22320573601689422</v>
      </c>
      <c r="I167" s="310">
        <f t="shared" ca="1" si="52"/>
        <v>0.33480860402534124</v>
      </c>
      <c r="J167" s="310">
        <f t="shared" ca="1" si="52"/>
        <v>0.44641147203378845</v>
      </c>
      <c r="K167" s="310">
        <f t="shared" ca="1" si="52"/>
        <v>0.55801434004223549</v>
      </c>
      <c r="L167" s="310">
        <f t="shared" ca="1" si="52"/>
        <v>0.83702151006335324</v>
      </c>
      <c r="M167" s="310">
        <f ca="1">M150</f>
        <v>1.116028680084471</v>
      </c>
    </row>
    <row r="168" spans="3:13">
      <c r="C168" s="256" t="s">
        <v>1187</v>
      </c>
      <c r="D168" s="256"/>
      <c r="E168" s="297">
        <f>'Cost Input'!E116</f>
        <v>0</v>
      </c>
      <c r="F168" s="300">
        <f>'Cost Input'!F116</f>
        <v>0.5</v>
      </c>
      <c r="G168" s="286">
        <f t="shared" ref="G168:M170" ca="1" si="53">$E168*G$167^$F168</f>
        <v>0</v>
      </c>
      <c r="H168" s="286">
        <f t="shared" ca="1" si="53"/>
        <v>0</v>
      </c>
      <c r="I168" s="286">
        <f t="shared" ca="1" si="53"/>
        <v>0</v>
      </c>
      <c r="J168" s="286">
        <f t="shared" ca="1" si="53"/>
        <v>0</v>
      </c>
      <c r="K168" s="286">
        <f t="shared" ca="1" si="53"/>
        <v>0</v>
      </c>
      <c r="L168" s="286">
        <f t="shared" ca="1" si="53"/>
        <v>0</v>
      </c>
      <c r="M168" s="286">
        <f t="shared" ca="1" si="53"/>
        <v>0</v>
      </c>
    </row>
    <row r="169" spans="3:13">
      <c r="C169" s="256" t="s">
        <v>1279</v>
      </c>
      <c r="D169" s="256"/>
      <c r="E169" s="305">
        <f>'Cost Input'!E117</f>
        <v>0</v>
      </c>
      <c r="F169" s="300">
        <f>'Cost Input'!F117</f>
        <v>0.7</v>
      </c>
      <c r="G169" s="306">
        <f t="shared" ca="1" si="53"/>
        <v>0</v>
      </c>
      <c r="H169" s="306">
        <f t="shared" ca="1" si="53"/>
        <v>0</v>
      </c>
      <c r="I169" s="306">
        <f t="shared" ca="1" si="53"/>
        <v>0</v>
      </c>
      <c r="J169" s="306">
        <f t="shared" ca="1" si="53"/>
        <v>0</v>
      </c>
      <c r="K169" s="306">
        <f t="shared" ca="1" si="53"/>
        <v>0</v>
      </c>
      <c r="L169" s="306">
        <f t="shared" ca="1" si="53"/>
        <v>0</v>
      </c>
      <c r="M169" s="306">
        <f t="shared" ca="1" si="53"/>
        <v>0</v>
      </c>
    </row>
    <row r="170" spans="3:13">
      <c r="C170" s="256" t="s">
        <v>1276</v>
      </c>
      <c r="D170" s="256"/>
      <c r="E170" s="297">
        <f>'Cost Input'!E118</f>
        <v>0</v>
      </c>
      <c r="F170" s="300">
        <f>'Cost Input'!F118</f>
        <v>0.6</v>
      </c>
      <c r="G170" s="286">
        <f t="shared" ca="1" si="53"/>
        <v>0</v>
      </c>
      <c r="H170" s="286">
        <f t="shared" ca="1" si="53"/>
        <v>0</v>
      </c>
      <c r="I170" s="286">
        <f t="shared" ca="1" si="53"/>
        <v>0</v>
      </c>
      <c r="J170" s="286">
        <f t="shared" ca="1" si="53"/>
        <v>0</v>
      </c>
      <c r="K170" s="286">
        <f t="shared" ca="1" si="53"/>
        <v>0</v>
      </c>
      <c r="L170" s="286">
        <f t="shared" ca="1" si="53"/>
        <v>0</v>
      </c>
      <c r="M170" s="286">
        <f t="shared" ca="1" si="53"/>
        <v>0</v>
      </c>
    </row>
    <row r="171" spans="3:13">
      <c r="C171" s="256" t="s">
        <v>185</v>
      </c>
      <c r="D171" s="256"/>
      <c r="E171" s="257"/>
      <c r="F171" s="311"/>
      <c r="G171" s="195"/>
      <c r="H171" s="195"/>
      <c r="I171" s="195"/>
      <c r="J171" s="195"/>
      <c r="K171" s="195"/>
      <c r="L171" s="195"/>
      <c r="M171" s="195"/>
    </row>
    <row r="172" spans="3:13">
      <c r="C172" s="256" t="s">
        <v>101</v>
      </c>
      <c r="D172" s="256"/>
      <c r="E172" s="257"/>
      <c r="F172" s="311"/>
      <c r="G172" s="312">
        <f t="shared" ref="G172:L172" ca="1" si="54">G162</f>
        <v>1.1160286800844707E-2</v>
      </c>
      <c r="H172" s="312">
        <f t="shared" ca="1" si="54"/>
        <v>0.22320573601689422</v>
      </c>
      <c r="I172" s="312">
        <f t="shared" ca="1" si="54"/>
        <v>0.33480860402534124</v>
      </c>
      <c r="J172" s="312">
        <f t="shared" ca="1" si="54"/>
        <v>0.44641147203378845</v>
      </c>
      <c r="K172" s="312">
        <f t="shared" ca="1" si="54"/>
        <v>0.55801434004223549</v>
      </c>
      <c r="L172" s="312">
        <f t="shared" ca="1" si="54"/>
        <v>0.83702151006335324</v>
      </c>
      <c r="M172" s="312">
        <f ca="1">M162</f>
        <v>1.116028680084471</v>
      </c>
    </row>
    <row r="173" spans="3:13">
      <c r="C173" s="256" t="s">
        <v>1187</v>
      </c>
      <c r="D173" s="256"/>
      <c r="E173" s="286">
        <f>'Cost Input'!E121</f>
        <v>57600</v>
      </c>
      <c r="F173" s="306">
        <f>'Cost Input'!F121</f>
        <v>0.7</v>
      </c>
      <c r="G173" s="286">
        <f t="shared" ref="G173:M175" ca="1" si="55">$E173*G$172^$F173</f>
        <v>2476.2542401362466</v>
      </c>
      <c r="H173" s="286">
        <f t="shared" ca="1" si="55"/>
        <v>20161.193096751562</v>
      </c>
      <c r="I173" s="286">
        <f t="shared" ca="1" si="55"/>
        <v>26778.121669842403</v>
      </c>
      <c r="J173" s="286">
        <f t="shared" ca="1" si="55"/>
        <v>32751.954812474494</v>
      </c>
      <c r="K173" s="286">
        <f t="shared" ca="1" si="55"/>
        <v>38289.018626904246</v>
      </c>
      <c r="L173" s="286">
        <f t="shared" ca="1" si="55"/>
        <v>50855.522016467636</v>
      </c>
      <c r="M173" s="286">
        <f t="shared" ca="1" si="55"/>
        <v>62200.694267663021</v>
      </c>
    </row>
    <row r="174" spans="3:13">
      <c r="C174" s="256" t="s">
        <v>1279</v>
      </c>
      <c r="D174" s="256"/>
      <c r="E174" s="306">
        <f>'Cost Input'!E122</f>
        <v>4</v>
      </c>
      <c r="F174" s="306">
        <f>'Cost Input'!F122</f>
        <v>0.7</v>
      </c>
      <c r="G174" s="306">
        <f t="shared" ca="1" si="55"/>
        <v>0.17196210000946158</v>
      </c>
      <c r="H174" s="306">
        <f t="shared" ca="1" si="55"/>
        <v>1.4000828539410806</v>
      </c>
      <c r="I174" s="306">
        <f t="shared" ca="1" si="55"/>
        <v>1.8595917826279447</v>
      </c>
      <c r="J174" s="306">
        <f t="shared" ca="1" si="55"/>
        <v>2.2744413064218398</v>
      </c>
      <c r="K174" s="306">
        <f t="shared" ca="1" si="55"/>
        <v>2.6589596268683504</v>
      </c>
      <c r="L174" s="306">
        <f t="shared" ca="1" si="55"/>
        <v>3.5316334733658081</v>
      </c>
      <c r="M174" s="306">
        <f t="shared" ca="1" si="55"/>
        <v>4.3194926574765988</v>
      </c>
    </row>
    <row r="175" spans="3:13">
      <c r="C175" s="256" t="s">
        <v>1276</v>
      </c>
      <c r="D175" s="256"/>
      <c r="E175" s="286">
        <f>'Cost Input'!E123</f>
        <v>2100</v>
      </c>
      <c r="F175" s="306">
        <f>'Cost Input'!F123</f>
        <v>0.6</v>
      </c>
      <c r="G175" s="286">
        <f t="shared" ca="1" si="55"/>
        <v>141.52217940280687</v>
      </c>
      <c r="H175" s="286">
        <f t="shared" ca="1" si="55"/>
        <v>853.96978604871651</v>
      </c>
      <c r="I175" s="286">
        <f t="shared" ca="1" si="55"/>
        <v>1089.1739879206973</v>
      </c>
      <c r="J175" s="286">
        <f t="shared" ca="1" si="55"/>
        <v>1294.3761520133799</v>
      </c>
      <c r="K175" s="286">
        <f t="shared" ca="1" si="55"/>
        <v>1479.8118835249286</v>
      </c>
      <c r="L175" s="286">
        <f t="shared" ca="1" si="55"/>
        <v>1887.3883325648928</v>
      </c>
      <c r="M175" s="286">
        <f t="shared" ca="1" si="55"/>
        <v>2242.9753871776898</v>
      </c>
    </row>
    <row r="176" spans="3:13">
      <c r="C176" s="256" t="s">
        <v>106</v>
      </c>
      <c r="D176" s="256"/>
      <c r="E176" s="286"/>
      <c r="F176" s="306"/>
      <c r="G176" s="195"/>
      <c r="H176" s="195"/>
      <c r="I176" s="195"/>
      <c r="J176" s="195"/>
      <c r="K176" s="195"/>
      <c r="L176" s="195"/>
      <c r="M176" s="195"/>
    </row>
    <row r="177" spans="2:13">
      <c r="C177" s="256" t="s">
        <v>101</v>
      </c>
      <c r="D177" s="256"/>
      <c r="E177" s="286"/>
      <c r="F177" s="306"/>
      <c r="G177" s="307">
        <f t="shared" ref="G177:L177" ca="1" si="56">G172</f>
        <v>1.1160286800844707E-2</v>
      </c>
      <c r="H177" s="307">
        <f t="shared" ca="1" si="56"/>
        <v>0.22320573601689422</v>
      </c>
      <c r="I177" s="307">
        <f t="shared" ca="1" si="56"/>
        <v>0.33480860402534124</v>
      </c>
      <c r="J177" s="307">
        <f t="shared" ca="1" si="56"/>
        <v>0.44641147203378845</v>
      </c>
      <c r="K177" s="307">
        <f t="shared" ca="1" si="56"/>
        <v>0.55801434004223549</v>
      </c>
      <c r="L177" s="307">
        <f t="shared" ca="1" si="56"/>
        <v>0.83702151006335324</v>
      </c>
      <c r="M177" s="307">
        <f ca="1">M172</f>
        <v>1.116028680084471</v>
      </c>
    </row>
    <row r="178" spans="2:13">
      <c r="C178" s="256" t="s">
        <v>1187</v>
      </c>
      <c r="D178" s="256"/>
      <c r="E178" s="286">
        <f>'Cost Input'!E126</f>
        <v>43200</v>
      </c>
      <c r="F178" s="306">
        <f>'Cost Input'!F126</f>
        <v>0.5</v>
      </c>
      <c r="G178" s="286">
        <f t="shared" ref="G178:M180" ca="1" si="57">$E178*G$177^$F178</f>
        <v>4563.7455712614419</v>
      </c>
      <c r="H178" s="286">
        <f t="shared" ca="1" si="57"/>
        <v>20409.690658708394</v>
      </c>
      <c r="I178" s="286">
        <f t="shared" ca="1" si="57"/>
        <v>24996.663960941922</v>
      </c>
      <c r="J178" s="286">
        <f t="shared" ca="1" si="57"/>
        <v>28863.66133338488</v>
      </c>
      <c r="K178" s="286">
        <f t="shared" ca="1" si="57"/>
        <v>32270.5544104904</v>
      </c>
      <c r="L178" s="286">
        <f t="shared" ca="1" si="57"/>
        <v>39523.196011211345</v>
      </c>
      <c r="M178" s="286">
        <f t="shared" ca="1" si="57"/>
        <v>45637.455712614428</v>
      </c>
    </row>
    <row r="179" spans="2:13">
      <c r="C179" s="256" t="s">
        <v>1279</v>
      </c>
      <c r="D179" s="256"/>
      <c r="E179" s="306">
        <f>'Cost Input'!E127</f>
        <v>4</v>
      </c>
      <c r="F179" s="306">
        <f>'Cost Input'!F127</f>
        <v>0.7</v>
      </c>
      <c r="G179" s="306">
        <f t="shared" ca="1" si="57"/>
        <v>0.17196210000946158</v>
      </c>
      <c r="H179" s="306">
        <f t="shared" ca="1" si="57"/>
        <v>1.4000828539410806</v>
      </c>
      <c r="I179" s="306">
        <f t="shared" ca="1" si="57"/>
        <v>1.8595917826279447</v>
      </c>
      <c r="J179" s="306">
        <f t="shared" ca="1" si="57"/>
        <v>2.2744413064218398</v>
      </c>
      <c r="K179" s="306">
        <f t="shared" ca="1" si="57"/>
        <v>2.6589596268683504</v>
      </c>
      <c r="L179" s="306">
        <f t="shared" ca="1" si="57"/>
        <v>3.5316334733658081</v>
      </c>
      <c r="M179" s="306">
        <f t="shared" ca="1" si="57"/>
        <v>4.3194926574765988</v>
      </c>
    </row>
    <row r="180" spans="2:13">
      <c r="C180" s="256" t="s">
        <v>1276</v>
      </c>
      <c r="D180" s="256"/>
      <c r="E180" s="286">
        <f>'Cost Input'!E128</f>
        <v>500</v>
      </c>
      <c r="F180" s="306">
        <f>'Cost Input'!F128</f>
        <v>0.6</v>
      </c>
      <c r="G180" s="286">
        <f t="shared" ca="1" si="57"/>
        <v>33.695757000668308</v>
      </c>
      <c r="H180" s="286">
        <f t="shared" ca="1" si="57"/>
        <v>203.32613953540871</v>
      </c>
      <c r="I180" s="286">
        <f t="shared" ca="1" si="57"/>
        <v>259.32713998111842</v>
      </c>
      <c r="J180" s="286">
        <f t="shared" ca="1" si="57"/>
        <v>308.18479809842376</v>
      </c>
      <c r="K180" s="286">
        <f t="shared" ca="1" si="57"/>
        <v>352.33616274403062</v>
      </c>
      <c r="L180" s="286">
        <f t="shared" ca="1" si="57"/>
        <v>449.37817442021259</v>
      </c>
      <c r="M180" s="286">
        <f t="shared" ca="1" si="57"/>
        <v>534.04175885183088</v>
      </c>
    </row>
    <row r="181" spans="2:13">
      <c r="B181" s="255" t="s">
        <v>241</v>
      </c>
      <c r="C181" s="256"/>
      <c r="D181" s="256"/>
      <c r="E181" s="286"/>
      <c r="F181" s="306"/>
      <c r="G181" s="286"/>
      <c r="H181" s="286"/>
      <c r="I181" s="286"/>
      <c r="J181" s="286"/>
      <c r="K181" s="286"/>
      <c r="L181" s="286"/>
      <c r="M181" s="286"/>
    </row>
    <row r="182" spans="2:13">
      <c r="C182" s="256" t="s">
        <v>101</v>
      </c>
      <c r="D182" s="256"/>
      <c r="E182" s="286"/>
      <c r="F182" s="306"/>
      <c r="G182" s="307">
        <f t="shared" ref="G182:L182" ca="1" si="58">G177</f>
        <v>1.1160286800844707E-2</v>
      </c>
      <c r="H182" s="307">
        <f t="shared" ca="1" si="58"/>
        <v>0.22320573601689422</v>
      </c>
      <c r="I182" s="307">
        <f t="shared" ca="1" si="58"/>
        <v>0.33480860402534124</v>
      </c>
      <c r="J182" s="307">
        <f t="shared" ca="1" si="58"/>
        <v>0.44641147203378845</v>
      </c>
      <c r="K182" s="307">
        <f t="shared" ca="1" si="58"/>
        <v>0.55801434004223549</v>
      </c>
      <c r="L182" s="307">
        <f t="shared" ca="1" si="58"/>
        <v>0.83702151006335324</v>
      </c>
      <c r="M182" s="307">
        <f ca="1">M177</f>
        <v>1.116028680084471</v>
      </c>
    </row>
    <row r="183" spans="2:13">
      <c r="C183" s="256" t="s">
        <v>1187</v>
      </c>
      <c r="D183" s="256"/>
      <c r="E183" s="286">
        <f>'Cost Input'!E131</f>
        <v>14400</v>
      </c>
      <c r="F183" s="306">
        <f>'Cost Input'!F131</f>
        <v>0.5</v>
      </c>
      <c r="G183" s="286">
        <f t="shared" ref="G183:M185" ca="1" si="59">$E183*G$182^$F183</f>
        <v>1521.248523753814</v>
      </c>
      <c r="H183" s="286">
        <f t="shared" ca="1" si="59"/>
        <v>6803.2302195694647</v>
      </c>
      <c r="I183" s="286">
        <f t="shared" ca="1" si="59"/>
        <v>8332.2213203139745</v>
      </c>
      <c r="J183" s="286">
        <f t="shared" ca="1" si="59"/>
        <v>9621.2204444616273</v>
      </c>
      <c r="K183" s="286">
        <f t="shared" ca="1" si="59"/>
        <v>10756.851470163467</v>
      </c>
      <c r="L183" s="286">
        <f t="shared" ca="1" si="59"/>
        <v>13174.398670403782</v>
      </c>
      <c r="M183" s="286">
        <f t="shared" ca="1" si="59"/>
        <v>15212.485237538143</v>
      </c>
    </row>
    <row r="184" spans="2:13">
      <c r="C184" s="256" t="s">
        <v>1279</v>
      </c>
      <c r="D184" s="256"/>
      <c r="E184" s="306">
        <f>'Cost Input'!E132</f>
        <v>2</v>
      </c>
      <c r="F184" s="306">
        <f>'Cost Input'!F132</f>
        <v>0.7</v>
      </c>
      <c r="G184" s="306">
        <f t="shared" ca="1" si="59"/>
        <v>8.5981050004730789E-2</v>
      </c>
      <c r="H184" s="306">
        <f t="shared" ca="1" si="59"/>
        <v>0.70004142697054028</v>
      </c>
      <c r="I184" s="306">
        <f t="shared" ca="1" si="59"/>
        <v>0.92979589131397233</v>
      </c>
      <c r="J184" s="306">
        <f t="shared" ca="1" si="59"/>
        <v>1.1372206532109199</v>
      </c>
      <c r="K184" s="306">
        <f t="shared" ca="1" si="59"/>
        <v>1.3294798134341752</v>
      </c>
      <c r="L184" s="306">
        <f t="shared" ca="1" si="59"/>
        <v>1.7658167366829041</v>
      </c>
      <c r="M184" s="306">
        <f t="shared" ca="1" si="59"/>
        <v>2.1597463287382994</v>
      </c>
    </row>
    <row r="185" spans="2:13">
      <c r="C185" s="256" t="s">
        <v>1276</v>
      </c>
      <c r="D185" s="256"/>
      <c r="E185" s="286">
        <f>'Cost Input'!E133</f>
        <v>300</v>
      </c>
      <c r="F185" s="306">
        <f>'Cost Input'!F133</f>
        <v>0.6</v>
      </c>
      <c r="G185" s="286">
        <f t="shared" ca="1" si="59"/>
        <v>20.217454200400983</v>
      </c>
      <c r="H185" s="286">
        <f t="shared" ca="1" si="59"/>
        <v>121.99568372124523</v>
      </c>
      <c r="I185" s="286">
        <f t="shared" ca="1" si="59"/>
        <v>155.59628398867105</v>
      </c>
      <c r="J185" s="286">
        <f t="shared" ca="1" si="59"/>
        <v>184.91087885905426</v>
      </c>
      <c r="K185" s="286">
        <f t="shared" ca="1" si="59"/>
        <v>211.40169764641837</v>
      </c>
      <c r="L185" s="286">
        <f t="shared" ca="1" si="59"/>
        <v>269.62690465212756</v>
      </c>
      <c r="M185" s="286">
        <f t="shared" ca="1" si="59"/>
        <v>320.42505531109856</v>
      </c>
    </row>
    <row r="186" spans="2:13">
      <c r="B186" s="255" t="s">
        <v>372</v>
      </c>
      <c r="C186" s="256"/>
      <c r="D186" s="256"/>
      <c r="E186" s="286"/>
      <c r="F186" s="306"/>
      <c r="G186" s="286"/>
      <c r="H186" s="286"/>
      <c r="I186" s="286"/>
      <c r="J186" s="286"/>
      <c r="K186" s="286"/>
      <c r="L186" s="286"/>
      <c r="M186" s="286"/>
    </row>
    <row r="187" spans="2:13">
      <c r="C187" s="256" t="s">
        <v>101</v>
      </c>
      <c r="D187" s="256"/>
      <c r="E187" s="286"/>
      <c r="F187" s="306"/>
      <c r="G187" s="307">
        <f t="shared" ref="G187:L187" ca="1" si="60">G126</f>
        <v>1.6666666666666659E-2</v>
      </c>
      <c r="H187" s="307">
        <f t="shared" ca="1" si="60"/>
        <v>0.3333333333333332</v>
      </c>
      <c r="I187" s="307">
        <f t="shared" ca="1" si="60"/>
        <v>0.49999999999999978</v>
      </c>
      <c r="J187" s="307">
        <f t="shared" ca="1" si="60"/>
        <v>0.66666666666666641</v>
      </c>
      <c r="K187" s="307">
        <f t="shared" ca="1" si="60"/>
        <v>0.83333333333333304</v>
      </c>
      <c r="L187" s="307">
        <f t="shared" ca="1" si="60"/>
        <v>1.2499999999999996</v>
      </c>
      <c r="M187" s="307">
        <f ca="1">M126</f>
        <v>1.6666666666666661</v>
      </c>
    </row>
    <row r="188" spans="2:13">
      <c r="C188" s="256" t="s">
        <v>1187</v>
      </c>
      <c r="D188" s="256"/>
      <c r="E188" s="286">
        <f>'Cost Input'!E136</f>
        <v>57600</v>
      </c>
      <c r="F188" s="306">
        <f>'Cost Input'!F136</f>
        <v>0.5</v>
      </c>
      <c r="G188" s="286">
        <f t="shared" ref="G188:M190" ca="1" si="61">$E188*G$187^$F188</f>
        <v>7436.1280247182394</v>
      </c>
      <c r="H188" s="286">
        <f t="shared" ca="1" si="61"/>
        <v>33255.375505322438</v>
      </c>
      <c r="I188" s="286">
        <f t="shared" ca="1" si="61"/>
        <v>40729.350596345124</v>
      </c>
      <c r="J188" s="286">
        <f t="shared" ca="1" si="61"/>
        <v>47030.203061437016</v>
      </c>
      <c r="K188" s="286">
        <f t="shared" ca="1" si="61"/>
        <v>52581.365520495936</v>
      </c>
      <c r="L188" s="286">
        <f t="shared" ca="1" si="61"/>
        <v>64398.757751993937</v>
      </c>
      <c r="M188" s="286">
        <f t="shared" ca="1" si="61"/>
        <v>74361.280247182396</v>
      </c>
    </row>
    <row r="189" spans="2:13">
      <c r="C189" s="256" t="s">
        <v>1279</v>
      </c>
      <c r="D189" s="256"/>
      <c r="E189" s="306">
        <f>'Cost Input'!E137</f>
        <v>5</v>
      </c>
      <c r="F189" s="306">
        <f>'Cost Input'!F137</f>
        <v>0.7</v>
      </c>
      <c r="G189" s="306">
        <f t="shared" ca="1" si="61"/>
        <v>0.28461915769831336</v>
      </c>
      <c r="H189" s="306">
        <f t="shared" ca="1" si="61"/>
        <v>2.3173152838598483</v>
      </c>
      <c r="I189" s="306">
        <f t="shared" ca="1" si="61"/>
        <v>3.0778610333622898</v>
      </c>
      <c r="J189" s="306">
        <f t="shared" ca="1" si="61"/>
        <v>3.7644897848561838</v>
      </c>
      <c r="K189" s="306">
        <f t="shared" ca="1" si="61"/>
        <v>4.4009165351635744</v>
      </c>
      <c r="L189" s="306">
        <f t="shared" ca="1" si="61"/>
        <v>5.8453027988913817</v>
      </c>
      <c r="M189" s="306">
        <f t="shared" ca="1" si="61"/>
        <v>7.1493100037007888</v>
      </c>
    </row>
    <row r="190" spans="2:13">
      <c r="C190" s="256" t="s">
        <v>1276</v>
      </c>
      <c r="D190" s="256"/>
      <c r="E190" s="286">
        <f>'Cost Input'!E138</f>
        <v>500</v>
      </c>
      <c r="F190" s="306">
        <f>'Cost Input'!F138</f>
        <v>0.6</v>
      </c>
      <c r="G190" s="286">
        <f t="shared" ca="1" si="61"/>
        <v>42.86267330629201</v>
      </c>
      <c r="H190" s="286">
        <f t="shared" ca="1" si="61"/>
        <v>258.64092898589325</v>
      </c>
      <c r="I190" s="286">
        <f t="shared" ca="1" si="61"/>
        <v>329.87697769322347</v>
      </c>
      <c r="J190" s="286">
        <f t="shared" ca="1" si="61"/>
        <v>392.02634084155773</v>
      </c>
      <c r="K190" s="286">
        <f t="shared" ca="1" si="61"/>
        <v>448.18906538857078</v>
      </c>
      <c r="L190" s="286">
        <f t="shared" ca="1" si="61"/>
        <v>571.63131490915771</v>
      </c>
      <c r="M190" s="286">
        <f t="shared" ca="1" si="61"/>
        <v>679.3275913382688</v>
      </c>
    </row>
    <row r="191" spans="2:13">
      <c r="B191" s="255" t="s">
        <v>236</v>
      </c>
      <c r="C191" s="256"/>
      <c r="D191" s="256"/>
      <c r="E191" s="286"/>
      <c r="F191" s="306"/>
      <c r="G191" s="286"/>
      <c r="H191" s="286"/>
      <c r="I191" s="286"/>
      <c r="J191" s="286"/>
      <c r="K191" s="286"/>
      <c r="L191" s="286"/>
      <c r="M191" s="286"/>
    </row>
    <row r="192" spans="2:13">
      <c r="B192" s="256" t="s">
        <v>231</v>
      </c>
      <c r="C192" s="256"/>
      <c r="D192" s="256"/>
      <c r="E192" s="286"/>
      <c r="F192" s="306"/>
      <c r="G192" s="195"/>
      <c r="H192" s="195"/>
      <c r="I192" s="195"/>
      <c r="J192" s="195"/>
      <c r="K192" s="195"/>
      <c r="L192" s="195"/>
      <c r="M192" s="195"/>
    </row>
    <row r="193" spans="2:15">
      <c r="B193" s="256" t="s">
        <v>101</v>
      </c>
      <c r="C193" s="256"/>
      <c r="D193" s="256"/>
      <c r="E193" s="286"/>
      <c r="F193" s="306"/>
      <c r="G193" s="307">
        <f>G8/'Cost Input'!$K21</f>
        <v>1.666666659722222E-2</v>
      </c>
      <c r="H193" s="307">
        <f>H8/'Cost Input'!$K21</f>
        <v>0.33333333194444448</v>
      </c>
      <c r="I193" s="307">
        <f>I8/'Cost Input'!$K21</f>
        <v>0.49999999791666666</v>
      </c>
      <c r="J193" s="307">
        <f>J8/'Cost Input'!$K21</f>
        <v>0.66666666388888896</v>
      </c>
      <c r="K193" s="307">
        <f>K8/'Cost Input'!$K21</f>
        <v>0.83333332986111119</v>
      </c>
      <c r="L193" s="307">
        <f>L8/'Cost Input'!$K21</f>
        <v>1.2499999947916667</v>
      </c>
      <c r="M193" s="307">
        <f>M8/'Cost Input'!$K21</f>
        <v>1.6666666597222224</v>
      </c>
    </row>
    <row r="194" spans="2:15">
      <c r="B194" s="256" t="s">
        <v>187</v>
      </c>
      <c r="C194" s="256"/>
      <c r="D194" s="256"/>
      <c r="E194" s="286">
        <f>'Cost Input'!J76</f>
        <v>67</v>
      </c>
      <c r="F194" s="306"/>
      <c r="G194" s="313">
        <f ca="1">'Battery Design'!G82</f>
        <v>77.35058609741661</v>
      </c>
      <c r="H194" s="313">
        <f ca="1">'Battery Design'!H82</f>
        <v>77.35058609741661</v>
      </c>
      <c r="I194" s="313">
        <f ca="1">'Battery Design'!I82</f>
        <v>77.35058609741661</v>
      </c>
      <c r="J194" s="313">
        <f ca="1">'Battery Design'!J82</f>
        <v>77.35058609741661</v>
      </c>
      <c r="K194" s="313">
        <f ca="1">'Battery Design'!K82</f>
        <v>77.35058609741661</v>
      </c>
      <c r="L194" s="313">
        <f ca="1">'Battery Design'!L82</f>
        <v>77.35058609741661</v>
      </c>
      <c r="M194" s="313">
        <f ca="1">'Battery Design'!M82</f>
        <v>77.35058609741661</v>
      </c>
      <c r="O194" s="30"/>
    </row>
    <row r="195" spans="2:15">
      <c r="B195" s="256" t="s">
        <v>1187</v>
      </c>
      <c r="C195" s="256"/>
      <c r="D195" s="256"/>
      <c r="E195" s="286">
        <f>'Cost Input'!J77</f>
        <v>72000</v>
      </c>
      <c r="F195" s="306">
        <f>'Cost Input'!K77</f>
        <v>0.7</v>
      </c>
      <c r="G195" s="286">
        <f t="shared" ref="G195:M195" si="62">$E195*G$193^$F195</f>
        <v>4098.515858901711</v>
      </c>
      <c r="H195" s="286">
        <f t="shared" si="62"/>
        <v>33369.339990254586</v>
      </c>
      <c r="I195" s="286">
        <f t="shared" si="62"/>
        <v>44321.198751146825</v>
      </c>
      <c r="J195" s="286">
        <f t="shared" si="62"/>
        <v>54208.652743820494</v>
      </c>
      <c r="K195" s="286">
        <f t="shared" si="62"/>
        <v>63373.197921516999</v>
      </c>
      <c r="L195" s="286">
        <f t="shared" si="62"/>
        <v>84172.360058533188</v>
      </c>
      <c r="M195" s="286">
        <f t="shared" si="62"/>
        <v>102950.06375302038</v>
      </c>
    </row>
    <row r="196" spans="2:15">
      <c r="B196" s="256" t="s">
        <v>1279</v>
      </c>
      <c r="C196" s="256"/>
      <c r="D196" s="256"/>
      <c r="E196" s="306">
        <f>'Cost Input'!J78</f>
        <v>8</v>
      </c>
      <c r="F196" s="306">
        <f>'Cost Input'!K78</f>
        <v>0.8</v>
      </c>
      <c r="G196" s="306">
        <f t="shared" ref="G196:L196" ca="1" si="63">$E196*G$193^$F196*IF(G194&gt;80,1.1,1)</f>
        <v>0.30239108636083684</v>
      </c>
      <c r="H196" s="306">
        <f t="shared" ca="1" si="63"/>
        <v>3.3219491612348824</v>
      </c>
      <c r="I196" s="306">
        <f t="shared" ca="1" si="63"/>
        <v>4.5947934046721617</v>
      </c>
      <c r="J196" s="306">
        <f t="shared" ca="1" si="63"/>
        <v>5.7838494271082279</v>
      </c>
      <c r="K196" s="306">
        <f t="shared" ca="1" si="63"/>
        <v>6.914248572530159</v>
      </c>
      <c r="L196" s="306">
        <f t="shared" ca="1" si="63"/>
        <v>9.5635249660219532</v>
      </c>
      <c r="M196" s="306">
        <f t="shared" ref="M196" ca="1" si="64">$E196*M$193^$F196*IF(M194&gt;80,1.1,1)</f>
        <v>12.038405979171106</v>
      </c>
      <c r="O196" s="306">
        <f>$E196*O$193^$F196*IF(O194&gt;80,1.1,1)</f>
        <v>0</v>
      </c>
    </row>
    <row r="197" spans="2:15">
      <c r="B197" s="256" t="s">
        <v>1276</v>
      </c>
      <c r="C197" s="256"/>
      <c r="D197" s="256"/>
      <c r="E197" s="286">
        <f>'Cost Input'!J79</f>
        <v>1800</v>
      </c>
      <c r="F197" s="306">
        <f>'Cost Input'!K79</f>
        <v>0.8</v>
      </c>
      <c r="G197" s="286">
        <f t="shared" ref="G197:M197" si="65">$E197*G$193^$F197</f>
        <v>68.037994431188295</v>
      </c>
      <c r="H197" s="286">
        <f t="shared" si="65"/>
        <v>747.43856127784852</v>
      </c>
      <c r="I197" s="286">
        <f t="shared" si="65"/>
        <v>1033.8285160512364</v>
      </c>
      <c r="J197" s="286">
        <f t="shared" si="65"/>
        <v>1301.3661210993512</v>
      </c>
      <c r="K197" s="286">
        <f t="shared" si="65"/>
        <v>1555.7059288192859</v>
      </c>
      <c r="L197" s="286">
        <f t="shared" si="65"/>
        <v>2151.7931173549396</v>
      </c>
      <c r="M197" s="286">
        <f t="shared" si="65"/>
        <v>2708.6413453134987</v>
      </c>
    </row>
    <row r="198" spans="2:15">
      <c r="B198" s="256" t="s">
        <v>107</v>
      </c>
      <c r="C198" s="256"/>
      <c r="D198" s="256"/>
      <c r="E198" s="286"/>
      <c r="F198" s="306"/>
      <c r="G198" s="195"/>
      <c r="H198" s="195"/>
      <c r="I198" s="195"/>
      <c r="J198" s="195"/>
      <c r="K198" s="195"/>
      <c r="L198" s="195"/>
      <c r="M198" s="195"/>
    </row>
    <row r="199" spans="2:15">
      <c r="B199" s="256" t="s">
        <v>101</v>
      </c>
      <c r="C199" s="256"/>
      <c r="D199" s="256"/>
      <c r="E199" s="286"/>
      <c r="F199" s="306"/>
      <c r="G199" s="307">
        <f t="shared" ref="G199:L199" si="66">G193</f>
        <v>1.666666659722222E-2</v>
      </c>
      <c r="H199" s="307">
        <f t="shared" si="66"/>
        <v>0.33333333194444448</v>
      </c>
      <c r="I199" s="307">
        <f t="shared" si="66"/>
        <v>0.49999999791666666</v>
      </c>
      <c r="J199" s="307">
        <f t="shared" si="66"/>
        <v>0.66666666388888896</v>
      </c>
      <c r="K199" s="307">
        <f t="shared" si="66"/>
        <v>0.83333332986111119</v>
      </c>
      <c r="L199" s="307">
        <f t="shared" si="66"/>
        <v>1.2499999947916667</v>
      </c>
      <c r="M199" s="307">
        <f>M193</f>
        <v>1.6666666597222224</v>
      </c>
    </row>
    <row r="200" spans="2:15">
      <c r="B200" s="256" t="s">
        <v>1187</v>
      </c>
      <c r="C200" s="256"/>
      <c r="D200" s="256"/>
      <c r="E200" s="286">
        <f>'Cost Input'!J82</f>
        <v>72000</v>
      </c>
      <c r="F200" s="306">
        <f>'Cost Input'!K82</f>
        <v>0.7</v>
      </c>
      <c r="G200" s="286">
        <f t="shared" ref="G200:M202" si="67">$E200*G$199^$F200</f>
        <v>4098.515858901711</v>
      </c>
      <c r="H200" s="286">
        <f t="shared" si="67"/>
        <v>33369.339990254586</v>
      </c>
      <c r="I200" s="286">
        <f t="shared" si="67"/>
        <v>44321.198751146825</v>
      </c>
      <c r="J200" s="286">
        <f t="shared" si="67"/>
        <v>54208.652743820494</v>
      </c>
      <c r="K200" s="286">
        <f t="shared" si="67"/>
        <v>63373.197921516999</v>
      </c>
      <c r="L200" s="286">
        <f t="shared" si="67"/>
        <v>84172.360058533188</v>
      </c>
      <c r="M200" s="286">
        <f t="shared" si="67"/>
        <v>102950.06375302038</v>
      </c>
    </row>
    <row r="201" spans="2:15">
      <c r="B201" s="256" t="s">
        <v>1279</v>
      </c>
      <c r="C201" s="256"/>
      <c r="D201" s="256"/>
      <c r="E201" s="306">
        <f>'Cost Input'!J83</f>
        <v>12</v>
      </c>
      <c r="F201" s="306">
        <f>'Cost Input'!K83</f>
        <v>0.8</v>
      </c>
      <c r="G201" s="306">
        <f t="shared" si="67"/>
        <v>0.45358662954125528</v>
      </c>
      <c r="H201" s="306">
        <f t="shared" si="67"/>
        <v>4.9829237418523231</v>
      </c>
      <c r="I201" s="306">
        <f t="shared" si="67"/>
        <v>6.8921901070082425</v>
      </c>
      <c r="J201" s="306">
        <f t="shared" si="67"/>
        <v>8.675774140662341</v>
      </c>
      <c r="K201" s="306">
        <f t="shared" si="67"/>
        <v>10.371372858795239</v>
      </c>
      <c r="L201" s="306">
        <f t="shared" si="67"/>
        <v>14.345287449032931</v>
      </c>
      <c r="M201" s="306">
        <f t="shared" si="67"/>
        <v>18.057608968756661</v>
      </c>
    </row>
    <row r="202" spans="2:15">
      <c r="B202" s="256" t="s">
        <v>1276</v>
      </c>
      <c r="C202" s="256"/>
      <c r="D202" s="256"/>
      <c r="E202" s="286">
        <f>'Cost Input'!J84</f>
        <v>1200</v>
      </c>
      <c r="F202" s="306">
        <f>'Cost Input'!K84</f>
        <v>0.8</v>
      </c>
      <c r="G202" s="286">
        <f t="shared" si="67"/>
        <v>45.358662954125528</v>
      </c>
      <c r="H202" s="286">
        <f t="shared" si="67"/>
        <v>498.29237418523235</v>
      </c>
      <c r="I202" s="286">
        <f t="shared" si="67"/>
        <v>689.21901070082424</v>
      </c>
      <c r="J202" s="286">
        <f t="shared" si="67"/>
        <v>867.57741406623416</v>
      </c>
      <c r="K202" s="286">
        <f t="shared" si="67"/>
        <v>1037.1372858795239</v>
      </c>
      <c r="L202" s="286">
        <f t="shared" si="67"/>
        <v>1434.528744903293</v>
      </c>
      <c r="M202" s="286">
        <f t="shared" si="67"/>
        <v>1805.7608968756658</v>
      </c>
    </row>
    <row r="203" spans="2:15">
      <c r="B203" s="256" t="s">
        <v>186</v>
      </c>
      <c r="C203" s="256"/>
      <c r="D203" s="256"/>
      <c r="E203" s="286"/>
      <c r="F203" s="306"/>
      <c r="G203" s="195"/>
      <c r="H203" s="195"/>
      <c r="I203" s="195"/>
      <c r="J203" s="195"/>
      <c r="K203" s="195"/>
      <c r="L203" s="195"/>
      <c r="M203" s="195"/>
    </row>
    <row r="204" spans="2:15">
      <c r="B204" s="256" t="s">
        <v>101</v>
      </c>
      <c r="C204" s="256"/>
      <c r="D204" s="256"/>
      <c r="E204" s="286"/>
      <c r="F204" s="306"/>
      <c r="G204" s="307">
        <f t="shared" ref="G204:L204" si="68">G199</f>
        <v>1.666666659722222E-2</v>
      </c>
      <c r="H204" s="307">
        <f t="shared" si="68"/>
        <v>0.33333333194444448</v>
      </c>
      <c r="I204" s="307">
        <f t="shared" si="68"/>
        <v>0.49999999791666666</v>
      </c>
      <c r="J204" s="307">
        <f t="shared" si="68"/>
        <v>0.66666666388888896</v>
      </c>
      <c r="K204" s="307">
        <f t="shared" si="68"/>
        <v>0.83333332986111119</v>
      </c>
      <c r="L204" s="307">
        <f t="shared" si="68"/>
        <v>1.2499999947916667</v>
      </c>
      <c r="M204" s="307">
        <f>M199</f>
        <v>1.6666666597222224</v>
      </c>
    </row>
    <row r="205" spans="2:15">
      <c r="B205" s="256" t="s">
        <v>1187</v>
      </c>
      <c r="C205" s="256"/>
      <c r="D205" s="256"/>
      <c r="E205" s="286">
        <f>'Cost Input'!J87</f>
        <v>28800</v>
      </c>
      <c r="F205" s="306">
        <f>'Cost Input'!K87</f>
        <v>0.5</v>
      </c>
      <c r="G205" s="286">
        <f t="shared" ref="G205:M207" si="69">$E205*G$204^$F205</f>
        <v>3718.0640046131534</v>
      </c>
      <c r="H205" s="286">
        <f t="shared" si="69"/>
        <v>16627.687718020206</v>
      </c>
      <c r="I205" s="286">
        <f t="shared" si="69"/>
        <v>20364.675255746162</v>
      </c>
      <c r="J205" s="286">
        <f t="shared" si="69"/>
        <v>23515.101481728714</v>
      </c>
      <c r="K205" s="286">
        <f t="shared" si="69"/>
        <v>26290.682705475716</v>
      </c>
      <c r="L205" s="286">
        <f t="shared" si="69"/>
        <v>32199.378808914935</v>
      </c>
      <c r="M205" s="286">
        <f t="shared" si="69"/>
        <v>37180.640046131535</v>
      </c>
    </row>
    <row r="206" spans="2:15">
      <c r="B206" s="256" t="s">
        <v>1279</v>
      </c>
      <c r="C206" s="256"/>
      <c r="D206" s="256"/>
      <c r="E206" s="306">
        <f>'Cost Input'!J88</f>
        <v>4</v>
      </c>
      <c r="F206" s="306">
        <f>'Cost Input'!K88</f>
        <v>0.7</v>
      </c>
      <c r="G206" s="306">
        <f t="shared" si="69"/>
        <v>0.2276953254945395</v>
      </c>
      <c r="H206" s="306">
        <f t="shared" si="69"/>
        <v>1.8538522216808102</v>
      </c>
      <c r="I206" s="306">
        <f t="shared" si="69"/>
        <v>2.4622888195081569</v>
      </c>
      <c r="J206" s="306">
        <f t="shared" si="69"/>
        <v>3.0115918191011386</v>
      </c>
      <c r="K206" s="306">
        <f t="shared" si="69"/>
        <v>3.5207332178620554</v>
      </c>
      <c r="L206" s="306">
        <f t="shared" si="69"/>
        <v>4.6762422254740663</v>
      </c>
      <c r="M206" s="306">
        <f t="shared" si="69"/>
        <v>5.7194479862789098</v>
      </c>
    </row>
    <row r="207" spans="2:15">
      <c r="B207" s="256" t="s">
        <v>1276</v>
      </c>
      <c r="C207" s="256"/>
      <c r="D207" s="256"/>
      <c r="E207" s="286">
        <f>'Cost Input'!J89</f>
        <v>600</v>
      </c>
      <c r="F207" s="306">
        <f>'Cost Input'!K89</f>
        <v>0.6</v>
      </c>
      <c r="G207" s="286">
        <f t="shared" si="69"/>
        <v>51.435207838962398</v>
      </c>
      <c r="H207" s="286">
        <f t="shared" si="69"/>
        <v>310.36911400714916</v>
      </c>
      <c r="I207" s="286">
        <f t="shared" si="69"/>
        <v>395.85237224223732</v>
      </c>
      <c r="J207" s="286">
        <f t="shared" si="69"/>
        <v>470.43160783379045</v>
      </c>
      <c r="K207" s="286">
        <f t="shared" si="69"/>
        <v>537.82687712171787</v>
      </c>
      <c r="L207" s="286">
        <f t="shared" si="69"/>
        <v>685.95757617609559</v>
      </c>
      <c r="M207" s="286">
        <f t="shared" si="69"/>
        <v>815.19310756793993</v>
      </c>
    </row>
    <row r="208" spans="2:15">
      <c r="B208" s="256" t="s">
        <v>108</v>
      </c>
      <c r="C208" s="256"/>
      <c r="D208" s="256"/>
      <c r="E208" s="286"/>
      <c r="F208" s="306"/>
      <c r="G208" s="195"/>
      <c r="H208" s="195"/>
      <c r="I208" s="195"/>
      <c r="J208" s="195"/>
      <c r="K208" s="195"/>
      <c r="L208" s="195"/>
      <c r="M208" s="195"/>
    </row>
    <row r="209" spans="2:15">
      <c r="B209" s="256" t="s">
        <v>101</v>
      </c>
      <c r="C209" s="256"/>
      <c r="D209" s="256"/>
      <c r="E209" s="286"/>
      <c r="F209" s="306"/>
      <c r="G209" s="307">
        <f t="shared" ref="G209:L209" si="70">G204</f>
        <v>1.666666659722222E-2</v>
      </c>
      <c r="H209" s="307">
        <f t="shared" si="70"/>
        <v>0.33333333194444448</v>
      </c>
      <c r="I209" s="307">
        <f t="shared" si="70"/>
        <v>0.49999999791666666</v>
      </c>
      <c r="J209" s="307">
        <f t="shared" si="70"/>
        <v>0.66666666388888896</v>
      </c>
      <c r="K209" s="307">
        <f t="shared" si="70"/>
        <v>0.83333332986111119</v>
      </c>
      <c r="L209" s="307">
        <f t="shared" si="70"/>
        <v>1.2499999947916667</v>
      </c>
      <c r="M209" s="307">
        <f>M204</f>
        <v>1.6666666597222224</v>
      </c>
    </row>
    <row r="210" spans="2:15">
      <c r="B210" s="256" t="s">
        <v>1187</v>
      </c>
      <c r="C210" s="256"/>
      <c r="D210" s="256"/>
      <c r="E210" s="286">
        <f>'Cost Input'!J92</f>
        <v>64800</v>
      </c>
      <c r="F210" s="306">
        <f>'Cost Input'!K92</f>
        <v>0.5</v>
      </c>
      <c r="G210" s="286">
        <f t="shared" ref="G210:M212" si="71">$E210*G$209^$F210</f>
        <v>8365.6440103795958</v>
      </c>
      <c r="H210" s="286">
        <f t="shared" si="71"/>
        <v>37412.29736554547</v>
      </c>
      <c r="I210" s="286">
        <f t="shared" si="71"/>
        <v>45820.519325428868</v>
      </c>
      <c r="J210" s="286">
        <f t="shared" si="71"/>
        <v>52908.978333889609</v>
      </c>
      <c r="K210" s="286">
        <f t="shared" si="71"/>
        <v>59154.036087320368</v>
      </c>
      <c r="L210" s="286">
        <f t="shared" si="71"/>
        <v>72448.602320058606</v>
      </c>
      <c r="M210" s="286">
        <f t="shared" si="71"/>
        <v>83656.440103795961</v>
      </c>
    </row>
    <row r="211" spans="2:15">
      <c r="B211" s="256" t="s">
        <v>1279</v>
      </c>
      <c r="C211" s="256"/>
      <c r="D211" s="256"/>
      <c r="E211" s="306">
        <f>'Cost Input'!J93</f>
        <v>12</v>
      </c>
      <c r="F211" s="306">
        <f>'Cost Input'!K93</f>
        <v>0.7</v>
      </c>
      <c r="G211" s="306">
        <f t="shared" si="71"/>
        <v>0.68308597648361846</v>
      </c>
      <c r="H211" s="306">
        <f t="shared" si="71"/>
        <v>5.5615566650424304</v>
      </c>
      <c r="I211" s="306">
        <f t="shared" si="71"/>
        <v>7.3868664585244712</v>
      </c>
      <c r="J211" s="306">
        <f t="shared" si="71"/>
        <v>9.0347754573034162</v>
      </c>
      <c r="K211" s="306">
        <f t="shared" si="71"/>
        <v>10.562199653586166</v>
      </c>
      <c r="L211" s="306">
        <f t="shared" si="71"/>
        <v>14.028726676422199</v>
      </c>
      <c r="M211" s="306">
        <f t="shared" si="71"/>
        <v>17.158343958836731</v>
      </c>
    </row>
    <row r="212" spans="2:15">
      <c r="B212" s="256" t="s">
        <v>1276</v>
      </c>
      <c r="C212" s="256"/>
      <c r="D212" s="256"/>
      <c r="E212" s="286">
        <f>'Cost Input'!J94</f>
        <v>1800</v>
      </c>
      <c r="F212" s="306">
        <f>'Cost Input'!K94</f>
        <v>0.6</v>
      </c>
      <c r="G212" s="286">
        <f t="shared" si="71"/>
        <v>154.30562351688718</v>
      </c>
      <c r="H212" s="286">
        <f t="shared" si="71"/>
        <v>931.10734202144749</v>
      </c>
      <c r="I212" s="286">
        <f t="shared" si="71"/>
        <v>1187.5571167267121</v>
      </c>
      <c r="J212" s="286">
        <f t="shared" si="71"/>
        <v>1411.2948235013714</v>
      </c>
      <c r="K212" s="286">
        <f t="shared" si="71"/>
        <v>1613.4806313651536</v>
      </c>
      <c r="L212" s="286">
        <f t="shared" si="71"/>
        <v>2057.8727285282866</v>
      </c>
      <c r="M212" s="286">
        <f t="shared" si="71"/>
        <v>2445.5793227038198</v>
      </c>
    </row>
    <row r="213" spans="2:15">
      <c r="B213" s="256" t="s">
        <v>244</v>
      </c>
      <c r="C213" s="256"/>
      <c r="D213" s="256"/>
      <c r="E213" s="286"/>
      <c r="F213" s="306"/>
      <c r="G213" s="286"/>
      <c r="H213" s="286"/>
      <c r="I213" s="286"/>
      <c r="J213" s="286"/>
      <c r="K213" s="313">
        <f ca="1">K175/3+K197+K202+K207+K212</f>
        <v>5237.4213510273239</v>
      </c>
      <c r="L213" s="286"/>
      <c r="M213" s="286"/>
    </row>
    <row r="214" spans="2:15">
      <c r="B214" s="256" t="s">
        <v>101</v>
      </c>
      <c r="C214" s="256"/>
      <c r="D214" s="256"/>
      <c r="E214" s="286"/>
      <c r="F214" s="306"/>
      <c r="G214" s="307">
        <f ca="1">G13/'Cost Input'!$K27</f>
        <v>6.0051073531491639E-2</v>
      </c>
      <c r="H214" s="307">
        <f ca="1">H13/'Cost Input'!$K27</f>
        <v>0.45440393226905723</v>
      </c>
      <c r="I214" s="307">
        <f ca="1">I13/'Cost Input'!$K27</f>
        <v>0.60155983798271739</v>
      </c>
      <c r="J214" s="307">
        <f ca="1">J13/'Cost Input'!$K27</f>
        <v>0.73477519407189185</v>
      </c>
      <c r="K214" s="307">
        <f ca="1">K13/'Cost Input'!$K27</f>
        <v>0.85859366410283999</v>
      </c>
      <c r="L214" s="307">
        <f ca="1">L13/'Cost Input'!$K27</f>
        <v>1.1408658378935921</v>
      </c>
      <c r="M214" s="307">
        <f ca="1">M13/'Cost Input'!$K27</f>
        <v>1.397185759812047</v>
      </c>
    </row>
    <row r="215" spans="2:15">
      <c r="B215" s="256" t="s">
        <v>1187</v>
      </c>
      <c r="C215" s="256"/>
      <c r="D215" s="256"/>
      <c r="E215" s="286">
        <f>'Cost Input'!J97</f>
        <v>7200</v>
      </c>
      <c r="F215" s="306">
        <f>'Cost Input'!K97</f>
        <v>0.4</v>
      </c>
      <c r="G215" s="286">
        <f t="shared" ref="G215:M217" ca="1" si="72">$E215*G$214^$F215</f>
        <v>2337.4418028473151</v>
      </c>
      <c r="H215" s="286">
        <f t="shared" ca="1" si="72"/>
        <v>5251.813906244377</v>
      </c>
      <c r="I215" s="286">
        <f t="shared" ca="1" si="72"/>
        <v>5875.4891675341069</v>
      </c>
      <c r="J215" s="286">
        <f t="shared" ca="1" si="72"/>
        <v>6364.9396602705638</v>
      </c>
      <c r="K215" s="286">
        <f t="shared" ca="1" si="72"/>
        <v>6774.037057978333</v>
      </c>
      <c r="L215" s="286">
        <f t="shared" ca="1" si="72"/>
        <v>7589.7300059974941</v>
      </c>
      <c r="M215" s="286">
        <f t="shared" ca="1" si="72"/>
        <v>8230.6504270771238</v>
      </c>
      <c r="O215" s="317"/>
    </row>
    <row r="216" spans="2:15">
      <c r="B216" s="256" t="s">
        <v>1279</v>
      </c>
      <c r="C216" s="256"/>
      <c r="D216" s="256"/>
      <c r="E216" s="286">
        <f>'Cost Input'!J98</f>
        <v>7</v>
      </c>
      <c r="F216" s="306">
        <f>'Cost Input'!K98</f>
        <v>0.6</v>
      </c>
      <c r="G216" s="306">
        <f t="shared" ca="1" si="72"/>
        <v>1.2948232988305455</v>
      </c>
      <c r="H216" s="306">
        <f t="shared" ca="1" si="72"/>
        <v>4.360771077423399</v>
      </c>
      <c r="I216" s="306">
        <f t="shared" ca="1" si="72"/>
        <v>5.160185810886861</v>
      </c>
      <c r="J216" s="306">
        <f t="shared" ca="1" si="72"/>
        <v>5.818227942108904</v>
      </c>
      <c r="K216" s="306">
        <f t="shared" ca="1" si="72"/>
        <v>6.3880844318406655</v>
      </c>
      <c r="L216" s="306">
        <f t="shared" ca="1" si="72"/>
        <v>7.5759794069617961</v>
      </c>
      <c r="M216" s="306">
        <f t="shared" ca="1" si="72"/>
        <v>8.5556011542983388</v>
      </c>
      <c r="O216" s="318"/>
    </row>
    <row r="217" spans="2:15">
      <c r="B217" s="256" t="s">
        <v>1276</v>
      </c>
      <c r="C217" s="256"/>
      <c r="D217" s="256"/>
      <c r="E217" s="286">
        <f>'Cost Input'!J99</f>
        <v>200</v>
      </c>
      <c r="F217" s="306">
        <f>'Cost Input'!K99</f>
        <v>0.4</v>
      </c>
      <c r="G217" s="286">
        <f t="shared" ca="1" si="72"/>
        <v>64.928938967980969</v>
      </c>
      <c r="H217" s="286">
        <f t="shared" ca="1" si="72"/>
        <v>145.88371961789937</v>
      </c>
      <c r="I217" s="286">
        <f t="shared" ca="1" si="72"/>
        <v>163.20803243150297</v>
      </c>
      <c r="J217" s="286">
        <f t="shared" ca="1" si="72"/>
        <v>176.80387945196009</v>
      </c>
      <c r="K217" s="286">
        <f t="shared" ca="1" si="72"/>
        <v>188.16769605495369</v>
      </c>
      <c r="L217" s="286">
        <f t="shared" ca="1" si="72"/>
        <v>210.82583349993041</v>
      </c>
      <c r="M217" s="286">
        <f t="shared" ca="1" si="72"/>
        <v>228.6291785299201</v>
      </c>
      <c r="O217" s="319"/>
    </row>
    <row r="218" spans="2:15">
      <c r="B218" s="255" t="s">
        <v>109</v>
      </c>
      <c r="C218" s="255"/>
      <c r="D218" s="255"/>
      <c r="E218" s="286"/>
      <c r="F218" s="306"/>
      <c r="G218" s="286"/>
      <c r="H218" s="286"/>
      <c r="I218" s="286"/>
      <c r="J218" s="286"/>
      <c r="K218" s="286"/>
      <c r="L218" s="286"/>
      <c r="M218" s="286"/>
    </row>
    <row r="219" spans="2:15">
      <c r="B219" s="256" t="s">
        <v>678</v>
      </c>
      <c r="C219" s="255"/>
      <c r="D219" s="256"/>
      <c r="E219" s="286"/>
      <c r="F219" s="306"/>
      <c r="G219" s="195"/>
      <c r="H219" s="195"/>
      <c r="I219" s="195"/>
      <c r="J219" s="195"/>
      <c r="K219" s="195"/>
      <c r="L219" s="195"/>
      <c r="M219" s="195"/>
    </row>
    <row r="220" spans="2:15">
      <c r="B220" s="256" t="s">
        <v>101</v>
      </c>
      <c r="C220" s="255"/>
      <c r="D220" s="256"/>
      <c r="E220" s="286"/>
      <c r="F220" s="306"/>
      <c r="G220" s="307">
        <f t="shared" ref="G220:L220" si="73">G209</f>
        <v>1.666666659722222E-2</v>
      </c>
      <c r="H220" s="307">
        <f t="shared" si="73"/>
        <v>0.33333333194444448</v>
      </c>
      <c r="I220" s="307">
        <f t="shared" si="73"/>
        <v>0.49999999791666666</v>
      </c>
      <c r="J220" s="307">
        <f t="shared" si="73"/>
        <v>0.66666666388888896</v>
      </c>
      <c r="K220" s="307">
        <f t="shared" si="73"/>
        <v>0.83333332986111119</v>
      </c>
      <c r="L220" s="307">
        <f t="shared" si="73"/>
        <v>1.2499999947916667</v>
      </c>
      <c r="M220" s="307">
        <f t="shared" ref="M220" si="74">M209</f>
        <v>1.6666666597222224</v>
      </c>
    </row>
    <row r="221" spans="2:15">
      <c r="B221" s="256" t="s">
        <v>187</v>
      </c>
      <c r="C221" s="256"/>
      <c r="D221" s="256"/>
      <c r="E221" s="306">
        <f>'Cost Input'!J103</f>
        <v>67</v>
      </c>
      <c r="F221" s="306"/>
      <c r="G221" s="306">
        <f ca="1">'Battery Design'!G82</f>
        <v>77.35058609741661</v>
      </c>
      <c r="H221" s="306">
        <f ca="1">'Battery Design'!H82</f>
        <v>77.35058609741661</v>
      </c>
      <c r="I221" s="306">
        <f ca="1">'Battery Design'!I82</f>
        <v>77.35058609741661</v>
      </c>
      <c r="J221" s="306">
        <f ca="1">'Battery Design'!J82</f>
        <v>77.35058609741661</v>
      </c>
      <c r="K221" s="306">
        <f ca="1">'Battery Design'!K82</f>
        <v>77.35058609741661</v>
      </c>
      <c r="L221" s="306">
        <f ca="1">'Battery Design'!L82</f>
        <v>77.35058609741661</v>
      </c>
      <c r="M221" s="306">
        <f ca="1">'Battery Design'!M82</f>
        <v>77.35058609741661</v>
      </c>
    </row>
    <row r="222" spans="2:15">
      <c r="B222" s="256" t="s">
        <v>1187</v>
      </c>
      <c r="C222" s="255"/>
      <c r="D222" s="256"/>
      <c r="E222" s="306">
        <f>'Cost Input'!J104</f>
        <v>21600</v>
      </c>
      <c r="F222" s="306">
        <f>'Cost Input'!K104</f>
        <v>0.6</v>
      </c>
      <c r="G222" s="286">
        <f t="shared" ref="G222:M222" si="75">$E222*G$220^$F222</f>
        <v>1851.6674822026462</v>
      </c>
      <c r="H222" s="286">
        <f t="shared" si="75"/>
        <v>11173.28810425737</v>
      </c>
      <c r="I222" s="286">
        <f t="shared" si="75"/>
        <v>14250.685400720544</v>
      </c>
      <c r="J222" s="286">
        <f t="shared" si="75"/>
        <v>16935.537882016455</v>
      </c>
      <c r="K222" s="286">
        <f t="shared" si="75"/>
        <v>19361.767576381844</v>
      </c>
      <c r="L222" s="286">
        <f t="shared" si="75"/>
        <v>24694.472742339443</v>
      </c>
      <c r="M222" s="286">
        <f t="shared" si="75"/>
        <v>29346.951872445839</v>
      </c>
    </row>
    <row r="223" spans="2:15">
      <c r="B223" s="256" t="s">
        <v>1279</v>
      </c>
      <c r="C223" s="255"/>
      <c r="D223" s="256"/>
      <c r="E223" s="306">
        <f>'Cost Input'!J105</f>
        <v>28.75</v>
      </c>
      <c r="F223" s="306">
        <f>'Cost Input'!K105</f>
        <v>0.7</v>
      </c>
      <c r="G223" s="306">
        <f t="shared" ref="G223:L223" ca="1" si="76">$E223*G$220^$F223*IF(G221&gt;80,1.1,1)</f>
        <v>1.6365601519920026</v>
      </c>
      <c r="H223" s="306">
        <f t="shared" ca="1" si="76"/>
        <v>13.324562843330824</v>
      </c>
      <c r="I223" s="306">
        <f t="shared" ca="1" si="76"/>
        <v>17.697700890214879</v>
      </c>
      <c r="J223" s="306">
        <f t="shared" ca="1" si="76"/>
        <v>21.645816199789433</v>
      </c>
      <c r="K223" s="306">
        <f t="shared" ca="1" si="76"/>
        <v>25.305270003383523</v>
      </c>
      <c r="L223" s="306">
        <f t="shared" ca="1" si="76"/>
        <v>33.610490995594851</v>
      </c>
      <c r="M223" s="306">
        <f ca="1">$E223*M$220^$F223*IF(M221&gt;80,1.1,1)</f>
        <v>41.108532401379662</v>
      </c>
    </row>
    <row r="224" spans="2:15">
      <c r="B224" s="256" t="s">
        <v>1276</v>
      </c>
      <c r="C224" s="255"/>
      <c r="D224" s="256"/>
      <c r="E224" s="306">
        <f>'Cost Input'!J106</f>
        <v>1600</v>
      </c>
      <c r="F224" s="306">
        <f>'Cost Input'!K106</f>
        <v>0.8</v>
      </c>
      <c r="G224" s="286">
        <f t="shared" ref="G224:L224" si="77">$E224*G$220^$F224</f>
        <v>60.47821727216737</v>
      </c>
      <c r="H224" s="286">
        <f t="shared" si="77"/>
        <v>664.38983224697643</v>
      </c>
      <c r="I224" s="286">
        <f t="shared" si="77"/>
        <v>918.95868093443232</v>
      </c>
      <c r="J224" s="286">
        <f t="shared" si="77"/>
        <v>1156.7698854216455</v>
      </c>
      <c r="K224" s="286">
        <f t="shared" si="77"/>
        <v>1382.8497145060319</v>
      </c>
      <c r="L224" s="286">
        <f t="shared" si="77"/>
        <v>1912.7049932043906</v>
      </c>
      <c r="M224" s="286">
        <f>$E224*M$220^$F224</f>
        <v>2407.6811958342214</v>
      </c>
    </row>
    <row r="225" spans="2:13">
      <c r="B225" s="256" t="s">
        <v>109</v>
      </c>
      <c r="C225" s="255"/>
      <c r="D225" s="256"/>
      <c r="E225" s="306"/>
      <c r="F225" s="306"/>
      <c r="G225" s="306"/>
      <c r="H225" s="306"/>
      <c r="I225" s="306"/>
      <c r="J225" s="306"/>
      <c r="K225" s="306"/>
      <c r="L225" s="306"/>
      <c r="M225" s="306"/>
    </row>
    <row r="226" spans="2:13">
      <c r="B226" s="256" t="s">
        <v>101</v>
      </c>
      <c r="C226" s="255"/>
      <c r="D226" s="256"/>
      <c r="E226" s="306"/>
      <c r="F226" s="306"/>
      <c r="G226" s="307">
        <f t="shared" ref="G226:L226" si="78">G220</f>
        <v>1.666666659722222E-2</v>
      </c>
      <c r="H226" s="307">
        <f t="shared" si="78"/>
        <v>0.33333333194444448</v>
      </c>
      <c r="I226" s="307">
        <f t="shared" si="78"/>
        <v>0.49999999791666666</v>
      </c>
      <c r="J226" s="307">
        <f t="shared" si="78"/>
        <v>0.66666666388888896</v>
      </c>
      <c r="K226" s="307">
        <f t="shared" si="78"/>
        <v>0.83333332986111119</v>
      </c>
      <c r="L226" s="307">
        <f t="shared" si="78"/>
        <v>1.2499999947916667</v>
      </c>
      <c r="M226" s="307">
        <f>M220</f>
        <v>1.6666666597222224</v>
      </c>
    </row>
    <row r="227" spans="2:13">
      <c r="B227" s="256" t="s">
        <v>187</v>
      </c>
      <c r="C227" s="256"/>
      <c r="D227" s="256"/>
      <c r="E227" s="306">
        <f>'Cost Input'!J109</f>
        <v>67</v>
      </c>
      <c r="F227" s="306" t="str">
        <f>'Cost Input'!K109</f>
        <v>*</v>
      </c>
      <c r="G227" s="386">
        <f t="shared" ref="G227:L227" ca="1" si="79">G221</f>
        <v>77.35058609741661</v>
      </c>
      <c r="H227" s="386">
        <f t="shared" ca="1" si="79"/>
        <v>77.35058609741661</v>
      </c>
      <c r="I227" s="386">
        <f t="shared" ca="1" si="79"/>
        <v>77.35058609741661</v>
      </c>
      <c r="J227" s="386">
        <f t="shared" ca="1" si="79"/>
        <v>77.35058609741661</v>
      </c>
      <c r="K227" s="386">
        <f t="shared" ca="1" si="79"/>
        <v>77.35058609741661</v>
      </c>
      <c r="L227" s="386">
        <f t="shared" ca="1" si="79"/>
        <v>77.35058609741661</v>
      </c>
      <c r="M227" s="386">
        <f ca="1">M221</f>
        <v>77.35058609741661</v>
      </c>
    </row>
    <row r="228" spans="2:13">
      <c r="B228" s="256" t="s">
        <v>1187</v>
      </c>
      <c r="C228" s="255"/>
      <c r="D228" s="256"/>
      <c r="E228" s="306">
        <f>'Cost Input'!J110</f>
        <v>36000</v>
      </c>
      <c r="F228" s="306">
        <f>'Cost Input'!K110</f>
        <v>0.6</v>
      </c>
      <c r="G228" s="306">
        <f t="shared" ref="G228:M228" si="80">$E228*G$226^$F228</f>
        <v>3086.1124703377436</v>
      </c>
      <c r="H228" s="306">
        <f t="shared" si="80"/>
        <v>18622.146840428952</v>
      </c>
      <c r="I228" s="306">
        <f t="shared" si="80"/>
        <v>23751.142334534241</v>
      </c>
      <c r="J228" s="306">
        <f t="shared" si="80"/>
        <v>28225.896470027426</v>
      </c>
      <c r="K228" s="306">
        <f t="shared" si="80"/>
        <v>32269.612627303071</v>
      </c>
      <c r="L228" s="306">
        <f t="shared" si="80"/>
        <v>41157.454570565737</v>
      </c>
      <c r="M228" s="306">
        <f t="shared" si="80"/>
        <v>48911.586454076401</v>
      </c>
    </row>
    <row r="229" spans="2:13">
      <c r="B229" s="256" t="s">
        <v>1279</v>
      </c>
      <c r="C229" s="255"/>
      <c r="D229" s="256"/>
      <c r="E229" s="306">
        <f>'Cost Input'!J111</f>
        <v>28</v>
      </c>
      <c r="F229" s="306">
        <f>'Cost Input'!K111</f>
        <v>0.7</v>
      </c>
      <c r="G229" s="306">
        <f t="shared" ref="G229:L229" ca="1" si="81">$E229*G$220^$F229*IF(G227&gt;80,1.1,1)</f>
        <v>1.5938672784617764</v>
      </c>
      <c r="H229" s="306">
        <f t="shared" ca="1" si="81"/>
        <v>12.976965551765671</v>
      </c>
      <c r="I229" s="306">
        <f t="shared" ca="1" si="81"/>
        <v>17.236021736557099</v>
      </c>
      <c r="J229" s="306">
        <f t="shared" ca="1" si="81"/>
        <v>21.081142733707971</v>
      </c>
      <c r="K229" s="306">
        <f t="shared" ca="1" si="81"/>
        <v>24.645132525034388</v>
      </c>
      <c r="L229" s="306">
        <f t="shared" ca="1" si="81"/>
        <v>32.733695578318461</v>
      </c>
      <c r="M229" s="306">
        <f ca="1">$E229*M$220^$F229*IF(M227&gt;80,1.1,1)</f>
        <v>40.036135903952371</v>
      </c>
    </row>
    <row r="230" spans="2:13">
      <c r="B230" s="256" t="s">
        <v>1276</v>
      </c>
      <c r="C230" s="255"/>
      <c r="D230" s="256"/>
      <c r="E230" s="306">
        <f>'Cost Input'!J112</f>
        <v>350</v>
      </c>
      <c r="F230" s="306">
        <f>'Cost Input'!K112</f>
        <v>0.8</v>
      </c>
      <c r="G230" s="286">
        <f t="shared" ref="G230:L230" si="82">$E230*G$220^$F230</f>
        <v>13.229610028286611</v>
      </c>
      <c r="H230" s="286">
        <f t="shared" si="82"/>
        <v>145.33527580402611</v>
      </c>
      <c r="I230" s="286">
        <f t="shared" si="82"/>
        <v>201.02221145440708</v>
      </c>
      <c r="J230" s="286">
        <f t="shared" si="82"/>
        <v>253.04341243598498</v>
      </c>
      <c r="K230" s="286">
        <f t="shared" si="82"/>
        <v>302.49837504819448</v>
      </c>
      <c r="L230" s="286">
        <f t="shared" si="82"/>
        <v>418.40421726346045</v>
      </c>
      <c r="M230" s="286">
        <f>$E230*M$220^$F230</f>
        <v>526.6802615887359</v>
      </c>
    </row>
    <row r="231" spans="2:13">
      <c r="B231" s="256" t="s">
        <v>679</v>
      </c>
      <c r="C231" s="255"/>
      <c r="D231" s="256"/>
      <c r="E231" s="306"/>
      <c r="F231" s="306"/>
      <c r="G231" s="307"/>
      <c r="H231" s="307"/>
      <c r="I231" s="307"/>
      <c r="J231" s="307"/>
      <c r="K231" s="307"/>
      <c r="L231" s="307"/>
      <c r="M231" s="307"/>
    </row>
    <row r="232" spans="2:13">
      <c r="B232" s="256" t="s">
        <v>58</v>
      </c>
      <c r="C232" s="255"/>
      <c r="D232" s="256"/>
      <c r="E232" s="306"/>
      <c r="F232" s="306"/>
      <c r="G232" s="312">
        <f t="shared" ref="G232:L232" si="83">G226</f>
        <v>1.666666659722222E-2</v>
      </c>
      <c r="H232" s="312">
        <f t="shared" si="83"/>
        <v>0.33333333194444448</v>
      </c>
      <c r="I232" s="312">
        <f t="shared" si="83"/>
        <v>0.49999999791666666</v>
      </c>
      <c r="J232" s="312">
        <f t="shared" si="83"/>
        <v>0.66666666388888896</v>
      </c>
      <c r="K232" s="312">
        <f t="shared" si="83"/>
        <v>0.83333332986111119</v>
      </c>
      <c r="L232" s="312">
        <f t="shared" si="83"/>
        <v>1.2499999947916667</v>
      </c>
      <c r="M232" s="312">
        <f>M226</f>
        <v>1.6666666597222224</v>
      </c>
    </row>
    <row r="233" spans="2:13">
      <c r="B233" s="256" t="s">
        <v>1187</v>
      </c>
      <c r="C233" s="255"/>
      <c r="D233" s="256"/>
      <c r="E233" s="306">
        <f>'Cost Input'!J115</f>
        <v>10800</v>
      </c>
      <c r="F233" s="306">
        <f>'Cost Input'!K115</f>
        <v>0.4</v>
      </c>
      <c r="G233" s="286">
        <f t="shared" ref="G233:L235" si="84">$E233*G$220^$F233</f>
        <v>2099.7290394574729</v>
      </c>
      <c r="H233" s="286">
        <f t="shared" si="84"/>
        <v>6959.4553501552537</v>
      </c>
      <c r="I233" s="286">
        <f t="shared" si="84"/>
        <v>8184.8694455147006</v>
      </c>
      <c r="J233" s="286">
        <f t="shared" si="84"/>
        <v>9183.0563892005994</v>
      </c>
      <c r="K233" s="286">
        <f t="shared" si="84"/>
        <v>10040.405578834439</v>
      </c>
      <c r="L233" s="286">
        <f t="shared" si="84"/>
        <v>11808.310378906886</v>
      </c>
      <c r="M233" s="286">
        <f>$E233*M$220^$F233</f>
        <v>13248.394588640343</v>
      </c>
    </row>
    <row r="234" spans="2:13">
      <c r="B234" s="256" t="s">
        <v>1279</v>
      </c>
      <c r="C234" s="255"/>
      <c r="D234" s="256"/>
      <c r="E234" s="306">
        <f>'Cost Input'!J116</f>
        <v>4</v>
      </c>
      <c r="F234" s="306">
        <f>'Cost Input'!K116</f>
        <v>0.7</v>
      </c>
      <c r="G234" s="306">
        <f t="shared" si="84"/>
        <v>0.2276953254945395</v>
      </c>
      <c r="H234" s="306">
        <f t="shared" si="84"/>
        <v>1.8538522216808102</v>
      </c>
      <c r="I234" s="306">
        <f t="shared" si="84"/>
        <v>2.4622888195081569</v>
      </c>
      <c r="J234" s="306">
        <f t="shared" si="84"/>
        <v>3.0115918191011386</v>
      </c>
      <c r="K234" s="306">
        <f t="shared" si="84"/>
        <v>3.5207332178620554</v>
      </c>
      <c r="L234" s="306">
        <f t="shared" si="84"/>
        <v>4.6762422254740663</v>
      </c>
      <c r="M234" s="306">
        <f>$E234*M$220^$F234</f>
        <v>5.7194479862789098</v>
      </c>
    </row>
    <row r="235" spans="2:13">
      <c r="B235" s="256" t="s">
        <v>1276</v>
      </c>
      <c r="C235" s="255"/>
      <c r="D235" s="256"/>
      <c r="E235" s="306">
        <f>'Cost Input'!J117</f>
        <v>1800</v>
      </c>
      <c r="F235" s="306">
        <f>'Cost Input'!K117</f>
        <v>0.6</v>
      </c>
      <c r="G235" s="286">
        <f t="shared" si="84"/>
        <v>154.30562351688718</v>
      </c>
      <c r="H235" s="286">
        <f t="shared" si="84"/>
        <v>931.10734202144749</v>
      </c>
      <c r="I235" s="286">
        <f t="shared" si="84"/>
        <v>1187.5571167267121</v>
      </c>
      <c r="J235" s="286">
        <f t="shared" si="84"/>
        <v>1411.2948235013714</v>
      </c>
      <c r="K235" s="286">
        <f t="shared" si="84"/>
        <v>1613.4806313651536</v>
      </c>
      <c r="L235" s="286">
        <f t="shared" si="84"/>
        <v>2057.8727285282866</v>
      </c>
      <c r="M235" s="286">
        <f>$E235*M$220^$F235</f>
        <v>2445.5793227038198</v>
      </c>
    </row>
    <row r="236" spans="2:13">
      <c r="B236" s="256" t="s">
        <v>680</v>
      </c>
      <c r="C236" s="255"/>
      <c r="D236" s="256"/>
      <c r="E236" s="306"/>
      <c r="F236" s="306"/>
      <c r="G236" s="286"/>
      <c r="H236" s="286"/>
      <c r="I236" s="286"/>
      <c r="J236" s="286"/>
      <c r="K236" s="286"/>
      <c r="L236" s="286"/>
      <c r="M236" s="286"/>
    </row>
    <row r="237" spans="2:13">
      <c r="B237" s="256" t="s">
        <v>101</v>
      </c>
      <c r="C237" s="255"/>
      <c r="D237" s="256"/>
      <c r="E237" s="306"/>
      <c r="F237" s="306"/>
      <c r="G237" s="312">
        <f t="shared" ref="G237:L237" si="85">G232</f>
        <v>1.666666659722222E-2</v>
      </c>
      <c r="H237" s="312">
        <f t="shared" si="85"/>
        <v>0.33333333194444448</v>
      </c>
      <c r="I237" s="312">
        <f t="shared" si="85"/>
        <v>0.49999999791666666</v>
      </c>
      <c r="J237" s="312">
        <f t="shared" si="85"/>
        <v>0.66666666388888896</v>
      </c>
      <c r="K237" s="312">
        <f t="shared" si="85"/>
        <v>0.83333332986111119</v>
      </c>
      <c r="L237" s="312">
        <f t="shared" si="85"/>
        <v>1.2499999947916667</v>
      </c>
      <c r="M237" s="312">
        <f>M232</f>
        <v>1.6666666597222224</v>
      </c>
    </row>
    <row r="238" spans="2:13">
      <c r="B238" s="256" t="s">
        <v>1187</v>
      </c>
      <c r="C238" s="255"/>
      <c r="D238" s="256"/>
      <c r="E238" s="306">
        <f>'Cost Input'!J120</f>
        <v>28800</v>
      </c>
      <c r="F238" s="306">
        <f>'Cost Input'!K120</f>
        <v>0.5</v>
      </c>
      <c r="G238" s="286">
        <f t="shared" ref="G238:L240" si="86">$E238*G$220^$F238</f>
        <v>3718.0640046131534</v>
      </c>
      <c r="H238" s="286">
        <f t="shared" si="86"/>
        <v>16627.687718020206</v>
      </c>
      <c r="I238" s="286">
        <f t="shared" si="86"/>
        <v>20364.675255746162</v>
      </c>
      <c r="J238" s="286">
        <f t="shared" si="86"/>
        <v>23515.101481728714</v>
      </c>
      <c r="K238" s="286">
        <f t="shared" si="86"/>
        <v>26290.682705475716</v>
      </c>
      <c r="L238" s="286">
        <f t="shared" si="86"/>
        <v>32199.378808914935</v>
      </c>
      <c r="M238" s="286">
        <f>$E238*M$220^$F238</f>
        <v>37180.640046131535</v>
      </c>
    </row>
    <row r="239" spans="2:13">
      <c r="B239" s="256" t="s">
        <v>1279</v>
      </c>
      <c r="C239" s="255"/>
      <c r="D239" s="256"/>
      <c r="E239" s="306">
        <f>'Cost Input'!J121</f>
        <v>15</v>
      </c>
      <c r="F239" s="306">
        <f>'Cost Input'!K121</f>
        <v>0.7</v>
      </c>
      <c r="G239" s="306">
        <f t="shared" si="86"/>
        <v>0.85385747060452311</v>
      </c>
      <c r="H239" s="306">
        <f t="shared" si="86"/>
        <v>6.9519458313030382</v>
      </c>
      <c r="I239" s="306">
        <f t="shared" si="86"/>
        <v>9.2335830731555877</v>
      </c>
      <c r="J239" s="306">
        <f t="shared" si="86"/>
        <v>11.293469321629269</v>
      </c>
      <c r="K239" s="306">
        <f t="shared" si="86"/>
        <v>13.202749566982707</v>
      </c>
      <c r="L239" s="306">
        <f t="shared" si="86"/>
        <v>17.535908345527748</v>
      </c>
      <c r="M239" s="306">
        <f>$E239*M$220^$F239</f>
        <v>21.447929948545912</v>
      </c>
    </row>
    <row r="240" spans="2:13">
      <c r="B240" s="256" t="s">
        <v>1276</v>
      </c>
      <c r="C240" s="255"/>
      <c r="D240" s="256"/>
      <c r="E240" s="306">
        <f>'Cost Input'!J122</f>
        <v>600</v>
      </c>
      <c r="F240" s="306">
        <f>'Cost Input'!K122</f>
        <v>0.6</v>
      </c>
      <c r="G240" s="286">
        <f t="shared" si="86"/>
        <v>51.435207838962398</v>
      </c>
      <c r="H240" s="286">
        <f t="shared" si="86"/>
        <v>310.36911400714916</v>
      </c>
      <c r="I240" s="286">
        <f t="shared" si="86"/>
        <v>395.85237224223732</v>
      </c>
      <c r="J240" s="286">
        <f t="shared" si="86"/>
        <v>470.43160783379045</v>
      </c>
      <c r="K240" s="286">
        <f t="shared" si="86"/>
        <v>537.82687712171787</v>
      </c>
      <c r="L240" s="286">
        <f t="shared" si="86"/>
        <v>685.95757617609559</v>
      </c>
      <c r="M240" s="286">
        <f>$E240*M$220^$F240</f>
        <v>815.19310756793993</v>
      </c>
    </row>
    <row r="241" spans="2:26">
      <c r="B241" s="255" t="s">
        <v>110</v>
      </c>
      <c r="C241" s="255"/>
      <c r="D241" s="255"/>
      <c r="E241" s="286"/>
      <c r="F241" s="306"/>
      <c r="G241" s="195"/>
      <c r="H241" s="195"/>
      <c r="I241" s="195"/>
      <c r="J241" s="195"/>
      <c r="K241" s="195"/>
      <c r="L241" s="195"/>
      <c r="M241" s="195"/>
    </row>
    <row r="242" spans="2:26">
      <c r="B242" s="256" t="s">
        <v>101</v>
      </c>
      <c r="C242" s="256"/>
      <c r="D242" s="256"/>
      <c r="E242" s="286"/>
      <c r="F242" s="306"/>
      <c r="G242" s="312">
        <f t="shared" ref="G242" si="87">G220</f>
        <v>1.666666659722222E-2</v>
      </c>
      <c r="H242" s="312">
        <f t="shared" ref="H242:M242" si="88">H220</f>
        <v>0.33333333194444448</v>
      </c>
      <c r="I242" s="312">
        <f t="shared" si="88"/>
        <v>0.49999999791666666</v>
      </c>
      <c r="J242" s="312">
        <f t="shared" si="88"/>
        <v>0.66666666388888896</v>
      </c>
      <c r="K242" s="312">
        <f t="shared" si="88"/>
        <v>0.83333332986111119</v>
      </c>
      <c r="L242" s="312">
        <f t="shared" si="88"/>
        <v>1.2499999947916667</v>
      </c>
      <c r="M242" s="312">
        <f t="shared" si="88"/>
        <v>1.6666666597222224</v>
      </c>
    </row>
    <row r="243" spans="2:26">
      <c r="B243" s="256" t="s">
        <v>1187</v>
      </c>
      <c r="C243" s="256"/>
      <c r="D243" s="256"/>
      <c r="E243" s="286">
        <f>'Cost Input'!J125</f>
        <v>86400</v>
      </c>
      <c r="F243" s="306">
        <f>'Cost Input'!K125</f>
        <v>0.5</v>
      </c>
      <c r="G243" s="286">
        <f t="shared" ref="G243:M245" si="89">$E243*G$242^$F243</f>
        <v>11154.19201383946</v>
      </c>
      <c r="H243" s="286">
        <f t="shared" si="89"/>
        <v>49883.063154060626</v>
      </c>
      <c r="I243" s="286">
        <f t="shared" si="89"/>
        <v>61094.025767238483</v>
      </c>
      <c r="J243" s="286">
        <f t="shared" si="89"/>
        <v>70545.30444518615</v>
      </c>
      <c r="K243" s="286">
        <f t="shared" si="89"/>
        <v>78872.048116427148</v>
      </c>
      <c r="L243" s="286">
        <f t="shared" si="89"/>
        <v>96598.136426744808</v>
      </c>
      <c r="M243" s="286">
        <f t="shared" si="89"/>
        <v>111541.92013839461</v>
      </c>
      <c r="O243" s="41"/>
      <c r="P243" s="12"/>
      <c r="Q243" s="12"/>
      <c r="R243" s="12"/>
      <c r="S243" s="41"/>
      <c r="T243" s="186"/>
      <c r="U243" s="186"/>
      <c r="V243" s="186"/>
      <c r="W243" s="186"/>
      <c r="X243" s="186"/>
      <c r="Y243" s="186"/>
      <c r="Z243" s="186"/>
    </row>
    <row r="244" spans="2:26">
      <c r="B244" s="256" t="s">
        <v>1279</v>
      </c>
      <c r="C244" s="256"/>
      <c r="D244" s="256"/>
      <c r="E244" s="306">
        <f>'Cost Input'!J126</f>
        <v>16</v>
      </c>
      <c r="F244" s="306">
        <f>'Cost Input'!K126</f>
        <v>0.7</v>
      </c>
      <c r="G244" s="306">
        <f t="shared" si="89"/>
        <v>0.91078130197815799</v>
      </c>
      <c r="H244" s="306">
        <f t="shared" si="89"/>
        <v>7.4154088867232408</v>
      </c>
      <c r="I244" s="306">
        <f t="shared" si="89"/>
        <v>9.8491552780326277</v>
      </c>
      <c r="J244" s="306">
        <f t="shared" si="89"/>
        <v>12.046367276404554</v>
      </c>
      <c r="K244" s="306">
        <f t="shared" si="89"/>
        <v>14.082932871448222</v>
      </c>
      <c r="L244" s="306">
        <f t="shared" si="89"/>
        <v>18.704968901896265</v>
      </c>
      <c r="M244" s="306">
        <f t="shared" si="89"/>
        <v>22.877791945115639</v>
      </c>
      <c r="O244" s="34"/>
      <c r="P244" s="12"/>
      <c r="Q244" s="12"/>
      <c r="R244" s="12"/>
      <c r="S244" s="41"/>
      <c r="T244" s="199"/>
      <c r="U244" s="199"/>
      <c r="V244" s="199"/>
      <c r="W244" s="199"/>
      <c r="X244" s="199"/>
      <c r="Y244" s="199"/>
      <c r="Z244" s="199"/>
    </row>
    <row r="245" spans="2:26">
      <c r="B245" s="256" t="s">
        <v>1276</v>
      </c>
      <c r="C245" s="256"/>
      <c r="D245" s="256"/>
      <c r="E245" s="286">
        <f>'Cost Input'!J127</f>
        <v>1200</v>
      </c>
      <c r="F245" s="306">
        <f>'Cost Input'!K127</f>
        <v>0.6</v>
      </c>
      <c r="G245" s="286">
        <f t="shared" si="89"/>
        <v>102.8704156779248</v>
      </c>
      <c r="H245" s="286">
        <f t="shared" si="89"/>
        <v>620.73822801429833</v>
      </c>
      <c r="I245" s="286">
        <f t="shared" si="89"/>
        <v>791.70474448447465</v>
      </c>
      <c r="J245" s="286">
        <f t="shared" si="89"/>
        <v>940.8632156675809</v>
      </c>
      <c r="K245" s="286">
        <f t="shared" si="89"/>
        <v>1075.6537542434357</v>
      </c>
      <c r="L245" s="286">
        <f t="shared" si="89"/>
        <v>1371.9151523521912</v>
      </c>
      <c r="M245" s="286">
        <f t="shared" si="89"/>
        <v>1630.3862151358799</v>
      </c>
      <c r="O245" s="34"/>
      <c r="P245" s="12"/>
      <c r="Q245" s="12"/>
      <c r="R245" s="12"/>
      <c r="S245" s="41"/>
      <c r="T245" s="199"/>
      <c r="U245" s="199"/>
      <c r="V245" s="199"/>
      <c r="W245" s="199"/>
      <c r="X245" s="199"/>
      <c r="Y245" s="199"/>
      <c r="Z245" s="199"/>
    </row>
    <row r="246" spans="2:26">
      <c r="B246" s="26" t="s">
        <v>283</v>
      </c>
      <c r="C246" s="255"/>
      <c r="D246" s="255"/>
      <c r="E246" s="286"/>
      <c r="F246" s="306"/>
      <c r="G246" s="195"/>
      <c r="H246" s="195"/>
      <c r="I246" s="195"/>
      <c r="J246" s="195"/>
      <c r="K246" s="195"/>
      <c r="L246" s="195"/>
      <c r="M246" s="195"/>
      <c r="O246" s="34"/>
      <c r="P246" s="12"/>
      <c r="Q246" s="12"/>
      <c r="R246" s="12"/>
      <c r="S246" s="41"/>
      <c r="T246" s="199"/>
      <c r="U246" s="199"/>
      <c r="V246" s="199"/>
      <c r="W246" s="199"/>
      <c r="X246" s="199"/>
      <c r="Y246" s="199"/>
      <c r="Z246" s="199"/>
    </row>
    <row r="247" spans="2:26">
      <c r="B247" s="256" t="s">
        <v>101</v>
      </c>
      <c r="C247" s="256"/>
      <c r="D247" s="256"/>
      <c r="E247" s="286"/>
      <c r="F247" s="306"/>
      <c r="G247" s="312">
        <f t="shared" ref="G247" si="90">G242</f>
        <v>1.666666659722222E-2</v>
      </c>
      <c r="H247" s="312">
        <f t="shared" ref="H247:L247" si="91">H242</f>
        <v>0.33333333194444448</v>
      </c>
      <c r="I247" s="312">
        <f t="shared" si="91"/>
        <v>0.49999999791666666</v>
      </c>
      <c r="J247" s="312">
        <f t="shared" si="91"/>
        <v>0.66666666388888896</v>
      </c>
      <c r="K247" s="312">
        <f t="shared" si="91"/>
        <v>0.83333332986111119</v>
      </c>
      <c r="L247" s="312">
        <f t="shared" si="91"/>
        <v>1.2499999947916667</v>
      </c>
      <c r="M247" s="312">
        <f>M242</f>
        <v>1.6666666597222224</v>
      </c>
      <c r="O247" s="34"/>
      <c r="P247" s="12"/>
      <c r="Q247" s="12"/>
      <c r="R247" s="12"/>
      <c r="S247" s="41"/>
      <c r="T247" s="199"/>
      <c r="U247" s="199"/>
      <c r="V247" s="199"/>
      <c r="W247" s="199"/>
      <c r="X247" s="199"/>
      <c r="Y247" s="199"/>
      <c r="Z247" s="199"/>
    </row>
    <row r="248" spans="2:26">
      <c r="B248" s="6" t="s">
        <v>276</v>
      </c>
      <c r="C248" s="6"/>
      <c r="D248" s="6"/>
      <c r="E248" s="51">
        <f>'Cost Input'!J130</f>
        <v>20</v>
      </c>
      <c r="F248" s="59">
        <f>'Cost Input'!K130</f>
        <v>0.3</v>
      </c>
      <c r="G248" s="52">
        <f>'Battery Design'!G72</f>
        <v>20</v>
      </c>
      <c r="H248" s="52">
        <f>'Battery Design'!H72</f>
        <v>20</v>
      </c>
      <c r="I248" s="52">
        <f>'Battery Design'!I72</f>
        <v>20</v>
      </c>
      <c r="J248" s="52">
        <f>'Battery Design'!J72</f>
        <v>20</v>
      </c>
      <c r="K248" s="52">
        <f>'Battery Design'!K72</f>
        <v>20</v>
      </c>
      <c r="L248" s="52">
        <f>'Battery Design'!L72</f>
        <v>20</v>
      </c>
      <c r="M248" s="52">
        <f>'Battery Design'!M72</f>
        <v>20</v>
      </c>
      <c r="O248" s="34"/>
      <c r="P248" s="12"/>
      <c r="Q248" s="12"/>
      <c r="R248" s="12"/>
      <c r="S248" s="41"/>
      <c r="T248" s="199"/>
      <c r="U248" s="199"/>
      <c r="V248" s="199"/>
      <c r="W248" s="199"/>
      <c r="X248" s="199"/>
      <c r="Y248" s="199"/>
      <c r="Z248" s="199"/>
    </row>
    <row r="249" spans="2:26">
      <c r="B249" s="6" t="s">
        <v>1187</v>
      </c>
      <c r="C249" s="6"/>
      <c r="D249" s="6"/>
      <c r="E249" s="51">
        <f>'Cost Input'!J131</f>
        <v>72000</v>
      </c>
      <c r="F249" s="59">
        <f>'Cost Input'!K131</f>
        <v>0.5</v>
      </c>
      <c r="G249" s="51">
        <f t="shared" ref="G249:M249" si="92">$E249*G$247^$F249</f>
        <v>9295.1600115328838</v>
      </c>
      <c r="H249" s="51">
        <f t="shared" si="92"/>
        <v>41569.21929505052</v>
      </c>
      <c r="I249" s="51">
        <f t="shared" si="92"/>
        <v>50911.688139365404</v>
      </c>
      <c r="J249" s="51">
        <f t="shared" si="92"/>
        <v>58787.753704321789</v>
      </c>
      <c r="K249" s="51">
        <f t="shared" si="92"/>
        <v>65726.70676368929</v>
      </c>
      <c r="L249" s="51">
        <f t="shared" si="92"/>
        <v>80498.447022287335</v>
      </c>
      <c r="M249" s="51">
        <f t="shared" si="92"/>
        <v>92951.600115328838</v>
      </c>
      <c r="O249" s="34"/>
      <c r="P249" s="12"/>
      <c r="Q249" s="12"/>
      <c r="R249" s="12"/>
      <c r="S249" s="41"/>
      <c r="T249" s="199"/>
      <c r="U249" s="199"/>
      <c r="V249" s="199"/>
      <c r="W249" s="199"/>
      <c r="X249" s="199"/>
      <c r="Y249" s="199"/>
      <c r="Z249" s="199"/>
    </row>
    <row r="250" spans="2:26">
      <c r="B250" s="6" t="s">
        <v>1279</v>
      </c>
      <c r="C250" s="6"/>
      <c r="D250" s="6"/>
      <c r="E250" s="59">
        <f>'Cost Input'!J132</f>
        <v>11</v>
      </c>
      <c r="F250" s="59">
        <f>'Cost Input'!K132</f>
        <v>0.7</v>
      </c>
      <c r="G250" s="59">
        <f t="shared" ref="G250" si="93">$E250*G$247^$F250*(G248/$E248)^$F248</f>
        <v>0.62616214510998358</v>
      </c>
      <c r="H250" s="59">
        <f t="shared" ref="H250:M250" si="94">$E250*H$247^$F250*(H248/$E248)^$F248</f>
        <v>5.0980936096222278</v>
      </c>
      <c r="I250" s="59">
        <f t="shared" si="94"/>
        <v>6.7712942536474312</v>
      </c>
      <c r="J250" s="59">
        <f t="shared" si="94"/>
        <v>8.2818775025281308</v>
      </c>
      <c r="K250" s="59">
        <f t="shared" si="94"/>
        <v>9.6820163491206515</v>
      </c>
      <c r="L250" s="59">
        <f t="shared" si="94"/>
        <v>12.859666120053681</v>
      </c>
      <c r="M250" s="59">
        <f t="shared" si="94"/>
        <v>15.728481962267002</v>
      </c>
      <c r="O250" s="34"/>
      <c r="P250" s="12"/>
      <c r="Q250" s="12"/>
      <c r="R250" s="12"/>
      <c r="S250" s="41"/>
      <c r="T250" s="199"/>
      <c r="U250" s="199"/>
      <c r="V250" s="199"/>
      <c r="W250" s="199"/>
      <c r="X250" s="199"/>
      <c r="Y250" s="199"/>
      <c r="Z250" s="199"/>
    </row>
    <row r="251" spans="2:26">
      <c r="B251" s="6" t="s">
        <v>1276</v>
      </c>
      <c r="C251" s="6"/>
      <c r="D251" s="6"/>
      <c r="E251" s="51">
        <f>'Cost Input'!J133</f>
        <v>1500</v>
      </c>
      <c r="F251" s="59">
        <f>'Cost Input'!K133</f>
        <v>0.6</v>
      </c>
      <c r="G251" s="51">
        <f t="shared" ref="G251:M251" si="95">$E251*G$247^$F251</f>
        <v>128.588019597406</v>
      </c>
      <c r="H251" s="51">
        <f t="shared" si="95"/>
        <v>775.92278501787291</v>
      </c>
      <c r="I251" s="51">
        <f t="shared" si="95"/>
        <v>989.63093060559333</v>
      </c>
      <c r="J251" s="51">
        <f t="shared" si="95"/>
        <v>1176.0790195844761</v>
      </c>
      <c r="K251" s="51">
        <f t="shared" si="95"/>
        <v>1344.5671928042948</v>
      </c>
      <c r="L251" s="51">
        <f t="shared" si="95"/>
        <v>1714.893940440239</v>
      </c>
      <c r="M251" s="51">
        <f t="shared" si="95"/>
        <v>2037.9827689198501</v>
      </c>
      <c r="O251" s="332"/>
      <c r="P251" s="17"/>
      <c r="Q251" s="17"/>
      <c r="R251" s="17"/>
      <c r="S251" s="41"/>
      <c r="T251" s="286"/>
      <c r="U251" s="286"/>
      <c r="V251" s="286"/>
      <c r="W251" s="286"/>
      <c r="X251" s="286"/>
      <c r="Y251" s="286"/>
      <c r="Z251" s="286"/>
    </row>
    <row r="252" spans="2:26" ht="14">
      <c r="B252" s="4" t="s">
        <v>111</v>
      </c>
      <c r="C252" s="4"/>
      <c r="D252" s="4"/>
      <c r="E252" s="51"/>
      <c r="F252" s="59"/>
      <c r="O252" s="208"/>
      <c r="P252" s="12"/>
      <c r="Q252" s="12"/>
      <c r="R252" s="12"/>
      <c r="S252" s="41"/>
      <c r="T252" s="186"/>
      <c r="U252" s="186"/>
      <c r="V252" s="186"/>
      <c r="W252" s="186"/>
      <c r="X252" s="186"/>
      <c r="Y252" s="186"/>
      <c r="Z252" s="186"/>
    </row>
    <row r="253" spans="2:26">
      <c r="B253" s="6" t="s">
        <v>101</v>
      </c>
      <c r="C253" s="6"/>
      <c r="D253" s="6"/>
      <c r="E253" s="51"/>
      <c r="F253" s="59"/>
      <c r="G253" s="37">
        <f>(1-'Cost Input'!$F5/100)/'Cost Input'!$F5*100*G8/(100-'Cost Input'!$F5)*'Cost Input'!$F5/'Cost Input'!$K21</f>
        <v>1.666666659722223E-2</v>
      </c>
      <c r="H253" s="37">
        <f>(1-'Cost Input'!$F5/100)/'Cost Input'!$F5*100*H8/(100-'Cost Input'!$F5)*'Cost Input'!$F5/'Cost Input'!$K21</f>
        <v>0.3333333319444447</v>
      </c>
      <c r="I253" s="37">
        <f>(1-'Cost Input'!$F5/100)/'Cost Input'!$F5*100*I8/(100-'Cost Input'!$F5)*'Cost Input'!$F5/'Cost Input'!$K21</f>
        <v>0.4999999979166671</v>
      </c>
      <c r="J253" s="37">
        <f>(1-'Cost Input'!$F5/100)/'Cost Input'!$F5*100*J8/(100-'Cost Input'!$F5)*'Cost Input'!$F5/'Cost Input'!$K21</f>
        <v>0.6666666638888894</v>
      </c>
      <c r="K253" s="37">
        <f>(1-'Cost Input'!$F5/100)/'Cost Input'!$F5*100*K8/(100-'Cost Input'!$F5)*'Cost Input'!$F5/'Cost Input'!$K21</f>
        <v>0.83333332986111186</v>
      </c>
      <c r="L253" s="37">
        <f>(1-'Cost Input'!$F5/100)/'Cost Input'!$F5*100*L8/(100-'Cost Input'!$F5)*'Cost Input'!$F5/'Cost Input'!$K21</f>
        <v>1.2499999947916673</v>
      </c>
      <c r="M253" s="37">
        <f>(1-'Cost Input'!$F5/100)/'Cost Input'!$F5*100*M8/(100-'Cost Input'!$F5)*'Cost Input'!$F5/'Cost Input'!$K21</f>
        <v>1.6666666597222237</v>
      </c>
      <c r="O253" s="34"/>
      <c r="P253" s="12"/>
      <c r="Q253" s="12"/>
      <c r="R253" s="12"/>
      <c r="S253" s="41"/>
      <c r="T253" s="199"/>
      <c r="U253" s="199"/>
      <c r="V253" s="199"/>
      <c r="W253" s="199"/>
      <c r="X253" s="199"/>
      <c r="Y253" s="199"/>
      <c r="Z253" s="199"/>
    </row>
    <row r="254" spans="2:26">
      <c r="B254" s="6" t="s">
        <v>1187</v>
      </c>
      <c r="C254" s="6"/>
      <c r="D254" s="6"/>
      <c r="E254" s="51">
        <f>'Cost Input'!J136</f>
        <v>9600</v>
      </c>
      <c r="F254" s="59">
        <f>'Cost Input'!K136</f>
        <v>0.7</v>
      </c>
      <c r="G254" s="51">
        <f t="shared" ref="G254:M256" si="96">$E254*G$253^$F254</f>
        <v>546.46878118689494</v>
      </c>
      <c r="H254" s="51">
        <f t="shared" si="96"/>
        <v>4449.2453320339464</v>
      </c>
      <c r="I254" s="51">
        <f t="shared" si="96"/>
        <v>5909.4931668195795</v>
      </c>
      <c r="J254" s="51">
        <f t="shared" si="96"/>
        <v>7227.8203658427356</v>
      </c>
      <c r="K254" s="51">
        <f t="shared" si="96"/>
        <v>8449.7597228689374</v>
      </c>
      <c r="L254" s="51">
        <f t="shared" si="96"/>
        <v>11222.981341137764</v>
      </c>
      <c r="M254" s="51">
        <f t="shared" si="96"/>
        <v>13726.675167069392</v>
      </c>
      <c r="O254" s="34"/>
      <c r="P254" s="12"/>
      <c r="Q254" s="12"/>
      <c r="R254" s="12"/>
      <c r="S254" s="41"/>
      <c r="T254" s="199"/>
      <c r="U254" s="199"/>
      <c r="V254" s="199"/>
      <c r="W254" s="199"/>
      <c r="X254" s="199"/>
      <c r="Y254" s="199"/>
      <c r="Z254" s="199"/>
    </row>
    <row r="255" spans="2:26">
      <c r="B255" s="6" t="s">
        <v>1279</v>
      </c>
      <c r="C255" s="6"/>
      <c r="D255" s="6"/>
      <c r="E255" s="59">
        <f>'Cost Input'!J137</f>
        <v>2</v>
      </c>
      <c r="F255" s="59">
        <f>'Cost Input'!K137</f>
        <v>0.7</v>
      </c>
      <c r="G255" s="59">
        <f t="shared" si="96"/>
        <v>0.11384766274726979</v>
      </c>
      <c r="H255" s="59">
        <f t="shared" si="96"/>
        <v>0.92692611084040555</v>
      </c>
      <c r="I255" s="59">
        <f t="shared" si="96"/>
        <v>1.2311444097540791</v>
      </c>
      <c r="J255" s="59">
        <f t="shared" si="96"/>
        <v>1.50579590955057</v>
      </c>
      <c r="K255" s="59">
        <f t="shared" si="96"/>
        <v>1.7603666089310288</v>
      </c>
      <c r="L255" s="59">
        <f t="shared" si="96"/>
        <v>2.338121112737034</v>
      </c>
      <c r="M255" s="59">
        <f t="shared" si="96"/>
        <v>2.8597239931394567</v>
      </c>
      <c r="O255" s="34"/>
      <c r="P255" s="12"/>
      <c r="Q255" s="12"/>
      <c r="R255" s="12"/>
      <c r="S255" s="41"/>
      <c r="T255" s="199"/>
      <c r="U255" s="199"/>
      <c r="V255" s="199"/>
      <c r="W255" s="199"/>
      <c r="X255" s="199"/>
      <c r="Y255" s="199"/>
      <c r="Z255" s="199"/>
    </row>
    <row r="256" spans="2:26">
      <c r="B256" s="6" t="s">
        <v>1276</v>
      </c>
      <c r="C256" s="6"/>
      <c r="D256" s="6"/>
      <c r="E256" s="51">
        <f>'Cost Input'!J138</f>
        <v>1000</v>
      </c>
      <c r="F256" s="59">
        <f>'Cost Input'!K138</f>
        <v>0.6</v>
      </c>
      <c r="G256" s="51">
        <f t="shared" si="96"/>
        <v>85.725346398270702</v>
      </c>
      <c r="H256" s="51">
        <f t="shared" si="96"/>
        <v>517.28185667858213</v>
      </c>
      <c r="I256" s="51">
        <f t="shared" si="96"/>
        <v>659.7539537370626</v>
      </c>
      <c r="J256" s="51">
        <f t="shared" si="96"/>
        <v>784.05267972298441</v>
      </c>
      <c r="K256" s="51">
        <f t="shared" si="96"/>
        <v>896.37812853619687</v>
      </c>
      <c r="L256" s="51">
        <f t="shared" si="96"/>
        <v>1143.2626269601597</v>
      </c>
      <c r="M256" s="51">
        <f t="shared" si="96"/>
        <v>1358.6551792799007</v>
      </c>
      <c r="O256" s="34"/>
      <c r="P256" s="12"/>
      <c r="Q256" s="12"/>
      <c r="R256" s="12"/>
      <c r="S256" s="41"/>
      <c r="T256" s="199"/>
      <c r="U256" s="199"/>
      <c r="V256" s="199"/>
      <c r="W256" s="199"/>
      <c r="X256" s="199"/>
      <c r="Y256" s="199"/>
      <c r="Z256" s="199"/>
    </row>
    <row r="257" spans="1:26">
      <c r="B257" s="4" t="s">
        <v>112</v>
      </c>
      <c r="C257" s="4"/>
      <c r="D257" s="4"/>
      <c r="E257" s="51"/>
      <c r="F257" s="59"/>
      <c r="G257" s="37"/>
      <c r="H257" s="37"/>
      <c r="I257" s="37"/>
      <c r="J257" s="37"/>
      <c r="K257" s="37"/>
      <c r="L257" s="37"/>
      <c r="M257" s="37"/>
      <c r="O257" s="34"/>
      <c r="P257" s="12"/>
      <c r="Q257" s="12"/>
      <c r="R257" s="12"/>
      <c r="S257" s="41"/>
      <c r="T257" s="199"/>
      <c r="U257" s="199"/>
      <c r="V257" s="199"/>
      <c r="W257" s="199"/>
      <c r="X257" s="199"/>
      <c r="Y257" s="199"/>
      <c r="Z257" s="199"/>
    </row>
    <row r="258" spans="1:26">
      <c r="B258" s="6" t="s">
        <v>101</v>
      </c>
      <c r="C258" s="6"/>
      <c r="D258" s="6"/>
      <c r="E258" s="51"/>
      <c r="F258" s="59"/>
      <c r="G258" s="37">
        <f t="shared" ref="G258" ca="1" si="97">G126</f>
        <v>1.6666666666666659E-2</v>
      </c>
      <c r="H258" s="37">
        <f t="shared" ref="H258:M258" ca="1" si="98">H126</f>
        <v>0.3333333333333332</v>
      </c>
      <c r="I258" s="37">
        <f t="shared" ca="1" si="98"/>
        <v>0.49999999999999978</v>
      </c>
      <c r="J258" s="37">
        <f t="shared" ca="1" si="98"/>
        <v>0.66666666666666641</v>
      </c>
      <c r="K258" s="37">
        <f t="shared" ca="1" si="98"/>
        <v>0.83333333333333304</v>
      </c>
      <c r="L258" s="37">
        <f t="shared" ca="1" si="98"/>
        <v>1.2499999999999996</v>
      </c>
      <c r="M258" s="37">
        <f t="shared" ca="1" si="98"/>
        <v>1.6666666666666661</v>
      </c>
      <c r="O258" s="34"/>
      <c r="P258" s="12"/>
      <c r="Q258" s="12"/>
      <c r="R258" s="12"/>
      <c r="S258" s="41"/>
      <c r="T258" s="199"/>
      <c r="U258" s="199"/>
      <c r="V258" s="199"/>
      <c r="W258" s="199"/>
      <c r="X258" s="199"/>
      <c r="Y258" s="199"/>
      <c r="Z258" s="199"/>
    </row>
    <row r="259" spans="1:26">
      <c r="B259" s="6" t="s">
        <v>1187</v>
      </c>
      <c r="C259" s="6"/>
      <c r="D259" s="6"/>
      <c r="E259" s="51">
        <f>'Cost Input'!J141</f>
        <v>72000</v>
      </c>
      <c r="F259" s="59">
        <f>'Cost Input'!K141</f>
        <v>0.5</v>
      </c>
      <c r="G259" s="51">
        <f t="shared" ref="G259:M261" ca="1" si="99">$E259*G$258^$F259</f>
        <v>9295.1600308977995</v>
      </c>
      <c r="H259" s="51">
        <f t="shared" ca="1" si="99"/>
        <v>41569.219381653042</v>
      </c>
      <c r="I259" s="51">
        <f t="shared" ca="1" si="99"/>
        <v>50911.688245431411</v>
      </c>
      <c r="J259" s="51">
        <f t="shared" ca="1" si="99"/>
        <v>58787.753826796266</v>
      </c>
      <c r="K259" s="51">
        <f t="shared" ca="1" si="99"/>
        <v>65726.706900619916</v>
      </c>
      <c r="L259" s="51">
        <f t="shared" ca="1" si="99"/>
        <v>80498.44718999241</v>
      </c>
      <c r="M259" s="51">
        <f t="shared" ca="1" si="99"/>
        <v>92951.600308977984</v>
      </c>
      <c r="O259" s="34"/>
      <c r="P259" s="12"/>
      <c r="Q259" s="12"/>
      <c r="R259" s="12"/>
      <c r="S259" s="41"/>
      <c r="T259" s="199"/>
      <c r="U259" s="199"/>
      <c r="V259" s="199"/>
      <c r="W259" s="199"/>
      <c r="X259" s="199"/>
      <c r="Y259" s="199"/>
      <c r="Z259" s="199"/>
    </row>
    <row r="260" spans="1:26">
      <c r="B260" s="6" t="s">
        <v>1279</v>
      </c>
      <c r="C260" s="6"/>
      <c r="D260" s="6"/>
      <c r="E260" s="59">
        <f>'Cost Input'!J142</f>
        <v>20</v>
      </c>
      <c r="F260" s="59">
        <f>'Cost Input'!K142</f>
        <v>0.7</v>
      </c>
      <c r="G260" s="59">
        <f t="shared" ca="1" si="99"/>
        <v>1.1384766307932535</v>
      </c>
      <c r="H260" s="59">
        <f t="shared" ca="1" si="99"/>
        <v>9.2692611354393932</v>
      </c>
      <c r="I260" s="59">
        <f t="shared" ca="1" si="99"/>
        <v>12.311444133449159</v>
      </c>
      <c r="J260" s="59">
        <f t="shared" ca="1" si="99"/>
        <v>15.057959139424735</v>
      </c>
      <c r="K260" s="59">
        <f t="shared" ca="1" si="99"/>
        <v>17.603666140654298</v>
      </c>
      <c r="L260" s="59">
        <f t="shared" ca="1" si="99"/>
        <v>23.381211195565527</v>
      </c>
      <c r="M260" s="59">
        <f t="shared" ca="1" si="99"/>
        <v>28.597240014803155</v>
      </c>
      <c r="O260" s="62"/>
      <c r="P260" s="12"/>
      <c r="Q260" s="12"/>
      <c r="R260" s="12"/>
      <c r="S260" s="41"/>
      <c r="T260" s="186"/>
      <c r="U260" s="186"/>
      <c r="V260" s="186"/>
      <c r="W260" s="186"/>
      <c r="X260" s="186"/>
      <c r="Y260" s="186"/>
      <c r="Z260" s="186"/>
    </row>
    <row r="261" spans="1:26" ht="14">
      <c r="B261" s="6" t="s">
        <v>1276</v>
      </c>
      <c r="C261" s="6"/>
      <c r="D261" s="6"/>
      <c r="E261" s="51">
        <f>'Cost Input'!J143</f>
        <v>2500</v>
      </c>
      <c r="F261" s="59">
        <f>'Cost Input'!K143</f>
        <v>0.6</v>
      </c>
      <c r="G261" s="51">
        <f t="shared" ca="1" si="99"/>
        <v>214.31336653146005</v>
      </c>
      <c r="H261" s="51">
        <f t="shared" ca="1" si="99"/>
        <v>1293.2046449294662</v>
      </c>
      <c r="I261" s="51">
        <f t="shared" ca="1" si="99"/>
        <v>1649.3848884661174</v>
      </c>
      <c r="J261" s="51">
        <f t="shared" ca="1" si="99"/>
        <v>1960.1317042077887</v>
      </c>
      <c r="K261" s="51">
        <f t="shared" ca="1" si="99"/>
        <v>2240.9453269428541</v>
      </c>
      <c r="L261" s="51">
        <f t="shared" ca="1" si="99"/>
        <v>2858.1565745457888</v>
      </c>
      <c r="M261" s="51">
        <f t="shared" ca="1" si="99"/>
        <v>3396.6379566913442</v>
      </c>
      <c r="O261" s="208"/>
      <c r="P261" s="12"/>
      <c r="Q261" s="12"/>
      <c r="R261" s="12"/>
      <c r="S261" s="41"/>
      <c r="T261" s="186"/>
      <c r="U261" s="186"/>
      <c r="V261" s="186"/>
      <c r="W261" s="186"/>
      <c r="X261" s="186"/>
      <c r="Y261" s="186"/>
      <c r="Z261" s="186"/>
    </row>
    <row r="262" spans="1:26">
      <c r="B262" s="4" t="s">
        <v>284</v>
      </c>
      <c r="O262" s="34"/>
      <c r="P262" s="12"/>
      <c r="Q262" s="12"/>
      <c r="R262" s="12"/>
      <c r="S262" s="41"/>
      <c r="T262" s="199"/>
      <c r="U262" s="199"/>
      <c r="V262" s="199"/>
      <c r="W262" s="199"/>
      <c r="X262" s="199"/>
      <c r="Y262" s="199"/>
      <c r="Z262" s="199"/>
    </row>
    <row r="263" spans="1:26">
      <c r="A263" s="255" t="s">
        <v>991</v>
      </c>
      <c r="B263" s="256" t="s">
        <v>1188</v>
      </c>
      <c r="G263" s="63">
        <f t="shared" ref="G263:L263" ca="1" si="100">G127+G134+G139+G146+G152+G157+G163+G168+G173+G178+G183+G188+G195+G200+G205+G210+G215+G222+G228+G233+G238+G243+G249+G254+G259</f>
        <v>96602.17987758205</v>
      </c>
      <c r="H263" s="63">
        <f t="shared" ca="1" si="100"/>
        <v>465386.15512809873</v>
      </c>
      <c r="I263" s="63">
        <f t="shared" ca="1" si="100"/>
        <v>578945.96304362861</v>
      </c>
      <c r="J263" s="63">
        <f t="shared" ca="1" si="100"/>
        <v>676530.23109460529</v>
      </c>
      <c r="K263" s="63">
        <f t="shared" ca="1" si="100"/>
        <v>763791.64474221913</v>
      </c>
      <c r="L263" s="63">
        <f t="shared" ca="1" si="100"/>
        <v>953234.27383632818</v>
      </c>
      <c r="M263" s="393">
        <f ca="1">M127+M134+M139+M146+M152+M157+M163+M168+M173+M178+M183+M188+M195+M200+M205+M210+M215+M222+M228+M233+M238+M243+M249+M254+M259</f>
        <v>1116502.8790810406</v>
      </c>
      <c r="N263" s="63"/>
      <c r="O263" s="34"/>
      <c r="P263" s="236"/>
      <c r="Q263" s="236"/>
      <c r="R263" s="236"/>
      <c r="S263" s="432"/>
      <c r="T263" s="433"/>
      <c r="U263" s="433"/>
      <c r="V263" s="433"/>
      <c r="W263" s="199"/>
      <c r="X263" s="199"/>
      <c r="Y263" s="199"/>
      <c r="Z263" s="199"/>
    </row>
    <row r="264" spans="1:26">
      <c r="A264" s="255" t="s">
        <v>991</v>
      </c>
      <c r="B264" s="256" t="s">
        <v>1280</v>
      </c>
      <c r="E264" s="30"/>
      <c r="G264" s="30">
        <f t="shared" ref="G264:L264" ca="1" si="101">G128+G135+G140+G147+G153+G158+G164+G169+G174+G179+G184+G189+G196+G201+G206+G211+G216+G223+G229+G234+G239+G244+G250+G255+G260</f>
        <v>13.350167117452155</v>
      </c>
      <c r="H264" s="30">
        <f t="shared" ca="1" si="101"/>
        <v>102.58312222599825</v>
      </c>
      <c r="I264" s="30">
        <f t="shared" ca="1" si="101"/>
        <v>135.83386309274661</v>
      </c>
      <c r="J264" s="30">
        <f t="shared" ca="1" si="101"/>
        <v>165.86589777406169</v>
      </c>
      <c r="K264" s="30">
        <f t="shared" ca="1" si="101"/>
        <v>193.71961011520122</v>
      </c>
      <c r="L264" s="30">
        <f t="shared" ca="1" si="101"/>
        <v>257.00852333981845</v>
      </c>
      <c r="M264" s="394">
        <f ca="1">M128+M135+M140+M147+M153+M158+M164+M169+M174+M179+M184+M189+M196+M201+M206+M211+M216+M223+M229+M234+M239+M244+M250+M255+M260</f>
        <v>314.24025426045512</v>
      </c>
      <c r="O264" s="34"/>
      <c r="P264" s="236"/>
      <c r="Q264" s="236"/>
      <c r="R264" s="236"/>
      <c r="S264" s="432"/>
      <c r="T264" s="433"/>
      <c r="U264" s="433"/>
      <c r="V264" s="433"/>
      <c r="W264" s="199"/>
      <c r="X264" s="199"/>
      <c r="Y264" s="199"/>
      <c r="Z264" s="199"/>
    </row>
    <row r="265" spans="1:26" s="256" customFormat="1">
      <c r="A265" s="255" t="s">
        <v>991</v>
      </c>
      <c r="B265" s="256" t="s">
        <v>1277</v>
      </c>
      <c r="C265"/>
      <c r="D265"/>
      <c r="E265"/>
      <c r="F265"/>
      <c r="G265" s="63">
        <f t="shared" ref="G265:L265" ca="1" si="102">G129+G136+G141+G148+G154+G159+G165+G170+G175+G180+G185+G190+G197+G202+G207+G212+G217+G224+G230+G235+G240+G245+G251+G256+G261</f>
        <v>1808.2206902937337</v>
      </c>
      <c r="H265" s="63">
        <f t="shared" ca="1" si="102"/>
        <v>11431.943617196115</v>
      </c>
      <c r="I265" s="63">
        <f t="shared" ca="1" si="102"/>
        <v>14771.309322976311</v>
      </c>
      <c r="J265" s="63">
        <f t="shared" ca="1" si="102"/>
        <v>17734.258936629722</v>
      </c>
      <c r="K265" s="63">
        <f t="shared" ca="1" si="102"/>
        <v>20447.567800313955</v>
      </c>
      <c r="L265" s="63">
        <f t="shared" ca="1" si="102"/>
        <v>26518.130516819361</v>
      </c>
      <c r="M265" s="393">
        <f ca="1">M129+M136+M141+M148+M154+M159+M165+M170+M175+M180+M185+M190+M197+M202+M207+M212+M217+M224+M230+M235+M240+M245+M251+M256+M261</f>
        <v>31921.719560789843</v>
      </c>
      <c r="N265" s="63"/>
      <c r="O265" s="34"/>
      <c r="P265" s="236"/>
      <c r="Q265" s="236"/>
      <c r="R265" s="236"/>
      <c r="S265" s="432"/>
      <c r="T265" s="433"/>
      <c r="U265" s="433"/>
      <c r="V265" s="433"/>
      <c r="W265" s="199"/>
      <c r="X265" s="199"/>
      <c r="Y265" s="199"/>
      <c r="Z265" s="199"/>
    </row>
    <row r="266" spans="1:26" s="256" customFormat="1">
      <c r="B266"/>
      <c r="C266"/>
      <c r="D266"/>
      <c r="E266"/>
      <c r="F266"/>
      <c r="G266"/>
      <c r="H266"/>
      <c r="I266"/>
      <c r="J266"/>
      <c r="K266"/>
      <c r="L266"/>
      <c r="M266"/>
      <c r="O266" s="34"/>
      <c r="P266" s="236"/>
      <c r="Q266" s="236"/>
      <c r="R266" s="236"/>
      <c r="S266" s="432"/>
      <c r="T266" s="433"/>
      <c r="U266" s="433"/>
      <c r="V266" s="433"/>
      <c r="W266" s="199"/>
      <c r="X266" s="199"/>
      <c r="Y266" s="199"/>
      <c r="Z266" s="199"/>
    </row>
    <row r="267" spans="1:26" s="256" customFormat="1">
      <c r="B267" s="4" t="s">
        <v>287</v>
      </c>
      <c r="C267"/>
      <c r="D267"/>
      <c r="E267"/>
      <c r="F267"/>
      <c r="G267"/>
      <c r="H267"/>
      <c r="I267"/>
      <c r="J267"/>
      <c r="K267"/>
      <c r="L267"/>
      <c r="M267"/>
      <c r="O267" s="34"/>
      <c r="P267" s="236"/>
      <c r="Q267" s="236"/>
      <c r="R267" s="236"/>
      <c r="S267" s="432"/>
      <c r="T267" s="433"/>
      <c r="U267" s="433"/>
      <c r="V267" s="433"/>
      <c r="W267" s="199"/>
      <c r="X267" s="199"/>
      <c r="Y267" s="199"/>
      <c r="Z267" s="199"/>
    </row>
    <row r="268" spans="1:26" s="256" customFormat="1">
      <c r="B268" s="6" t="s">
        <v>1187</v>
      </c>
      <c r="C268"/>
      <c r="D268"/>
      <c r="E268"/>
      <c r="F268"/>
      <c r="G268" s="78">
        <f t="shared" ref="G268" ca="1" si="103">G263-2/3*G249</f>
        <v>90405.406536560127</v>
      </c>
      <c r="H268" s="78">
        <f t="shared" ref="H268:L268" ca="1" si="104">H263-2/3*H249</f>
        <v>437673.34226473171</v>
      </c>
      <c r="I268" s="78">
        <f t="shared" ca="1" si="104"/>
        <v>545004.83761738497</v>
      </c>
      <c r="J268" s="78">
        <f t="shared" ca="1" si="104"/>
        <v>637338.39529172413</v>
      </c>
      <c r="K268" s="78">
        <f t="shared" ca="1" si="104"/>
        <v>719973.84023309289</v>
      </c>
      <c r="L268" s="78">
        <f t="shared" ca="1" si="104"/>
        <v>899568.64248813665</v>
      </c>
      <c r="M268" s="78">
        <f ca="1">M263-2/3*M249</f>
        <v>1054535.1456708214</v>
      </c>
      <c r="O268" s="34"/>
      <c r="P268" s="236"/>
      <c r="Q268" s="236"/>
      <c r="R268" s="236"/>
      <c r="S268" s="432"/>
      <c r="T268" s="433"/>
      <c r="U268" s="433"/>
      <c r="V268" s="433"/>
      <c r="W268" s="199"/>
      <c r="X268" s="199"/>
      <c r="Y268" s="199"/>
      <c r="Z268" s="199"/>
    </row>
    <row r="269" spans="1:26">
      <c r="B269" s="6" t="s">
        <v>1279</v>
      </c>
      <c r="E269" s="81"/>
      <c r="G269" s="81">
        <f ca="1">G264-0.5*G250</f>
        <v>13.037086044897164</v>
      </c>
      <c r="H269" s="81">
        <f t="shared" ref="H269:K270" ca="1" si="105">H264-0.5*H250</f>
        <v>100.03407542118714</v>
      </c>
      <c r="I269" s="81">
        <f t="shared" ca="1" si="105"/>
        <v>132.44821596592288</v>
      </c>
      <c r="J269" s="81">
        <f t="shared" ca="1" si="105"/>
        <v>161.72495902279763</v>
      </c>
      <c r="K269" s="81">
        <f t="shared" ca="1" si="105"/>
        <v>188.87860194064089</v>
      </c>
      <c r="L269" s="81">
        <f ca="1">L264-0.5*L250</f>
        <v>250.5786902797916</v>
      </c>
      <c r="M269" s="81">
        <f ca="1">M264-0.5*M250</f>
        <v>306.37601327932163</v>
      </c>
      <c r="O269" s="62"/>
      <c r="P269" s="236"/>
      <c r="Q269" s="236"/>
      <c r="R269" s="236"/>
      <c r="S269" s="432"/>
      <c r="T269" s="433"/>
      <c r="U269" s="433"/>
      <c r="V269" s="433"/>
      <c r="W269" s="199"/>
      <c r="X269" s="199"/>
      <c r="Y269" s="199"/>
      <c r="Z269" s="199"/>
    </row>
    <row r="270" spans="1:26">
      <c r="B270" s="6" t="s">
        <v>1276</v>
      </c>
      <c r="G270" s="78">
        <f t="shared" ref="G270" ca="1" si="106">G265-0.5*G251</f>
        <v>1743.9266804950307</v>
      </c>
      <c r="H270" s="78">
        <f t="shared" ca="1" si="105"/>
        <v>11043.982224687179</v>
      </c>
      <c r="I270" s="78">
        <f t="shared" ca="1" si="105"/>
        <v>14276.493857673515</v>
      </c>
      <c r="J270" s="78">
        <f t="shared" ca="1" si="105"/>
        <v>17146.219426837484</v>
      </c>
      <c r="K270" s="78">
        <f t="shared" ca="1" si="105"/>
        <v>19775.284203911808</v>
      </c>
      <c r="L270" s="78">
        <f ca="1">L265-0.5*L251</f>
        <v>25660.683546599241</v>
      </c>
      <c r="M270" s="78">
        <f ca="1">M265-0.5*M251</f>
        <v>30902.728176329918</v>
      </c>
      <c r="P270" s="107"/>
      <c r="Q270" s="107"/>
      <c r="R270" s="107"/>
      <c r="S270" s="107"/>
      <c r="T270" s="107"/>
      <c r="U270" s="107"/>
      <c r="V270" s="107"/>
    </row>
    <row r="272" spans="1:26">
      <c r="B272" s="255" t="s">
        <v>583</v>
      </c>
      <c r="C272" s="256"/>
      <c r="D272" s="256"/>
      <c r="E272" s="256"/>
      <c r="F272" s="256"/>
      <c r="G272" s="256"/>
      <c r="H272" s="256"/>
      <c r="I272" s="256"/>
      <c r="J272" s="256"/>
      <c r="K272" s="256"/>
      <c r="L272" s="256"/>
      <c r="M272" s="256"/>
    </row>
    <row r="273" spans="2:22">
      <c r="B273" s="256" t="s">
        <v>1187</v>
      </c>
      <c r="C273" s="256"/>
      <c r="D273" s="256"/>
      <c r="E273" s="256"/>
      <c r="F273" s="256"/>
      <c r="G273" s="258">
        <f ca="1">G268-G243</f>
        <v>79251.214522720664</v>
      </c>
      <c r="H273" s="258">
        <f t="shared" ref="H273:M273" ca="1" si="107">H268-H243</f>
        <v>387790.27911067108</v>
      </c>
      <c r="I273" s="258">
        <f t="shared" ca="1" si="107"/>
        <v>483910.81185014651</v>
      </c>
      <c r="J273" s="258">
        <f t="shared" ca="1" si="107"/>
        <v>566793.09084653796</v>
      </c>
      <c r="K273" s="258">
        <f t="shared" ca="1" si="107"/>
        <v>641101.79211666575</v>
      </c>
      <c r="L273" s="258">
        <f t="shared" ca="1" si="107"/>
        <v>802970.5060613919</v>
      </c>
      <c r="M273" s="258">
        <f t="shared" ca="1" si="107"/>
        <v>942993.22553242685</v>
      </c>
      <c r="P273" s="107"/>
      <c r="Q273" s="107"/>
      <c r="R273" s="107"/>
      <c r="S273" s="107"/>
      <c r="T273" s="107"/>
      <c r="U273" s="107"/>
      <c r="V273" s="107"/>
    </row>
    <row r="274" spans="2:22">
      <c r="B274" s="256" t="s">
        <v>1279</v>
      </c>
      <c r="C274" s="256"/>
      <c r="D274" s="256"/>
      <c r="E274" s="256"/>
      <c r="F274" s="256"/>
      <c r="G274" s="331">
        <f ca="1">G269-G244</f>
        <v>12.126304742919006</v>
      </c>
      <c r="H274" s="331">
        <f t="shared" ref="H274:M274" ca="1" si="108">H269-H244</f>
        <v>92.618666534463898</v>
      </c>
      <c r="I274" s="331">
        <f t="shared" ca="1" si="108"/>
        <v>122.59906068789026</v>
      </c>
      <c r="J274" s="331">
        <f t="shared" ca="1" si="108"/>
        <v>149.67859174639307</v>
      </c>
      <c r="K274" s="331">
        <f t="shared" ca="1" si="108"/>
        <v>174.79566906919268</v>
      </c>
      <c r="L274" s="331">
        <f t="shared" ca="1" si="108"/>
        <v>231.87372137789532</v>
      </c>
      <c r="M274" s="331">
        <f t="shared" ca="1" si="108"/>
        <v>283.49822133420599</v>
      </c>
      <c r="P274" s="107"/>
      <c r="Q274" s="107"/>
      <c r="R274" s="107"/>
      <c r="S274" s="107"/>
      <c r="T274" s="107"/>
      <c r="U274" s="107"/>
      <c r="V274" s="107"/>
    </row>
    <row r="275" spans="2:22">
      <c r="B275" s="256" t="s">
        <v>1276</v>
      </c>
      <c r="C275" s="256"/>
      <c r="D275" s="256"/>
      <c r="E275" s="256"/>
      <c r="F275" s="256"/>
      <c r="G275" s="258">
        <f ca="1">G270-G245</f>
        <v>1641.056264817106</v>
      </c>
      <c r="H275" s="258">
        <f t="shared" ref="H275:M275" ca="1" si="109">H270-H245</f>
        <v>10423.243996672882</v>
      </c>
      <c r="I275" s="258">
        <f t="shared" ca="1" si="109"/>
        <v>13484.789113189041</v>
      </c>
      <c r="J275" s="258">
        <f t="shared" ca="1" si="109"/>
        <v>16205.356211169903</v>
      </c>
      <c r="K275" s="258">
        <f t="shared" ca="1" si="109"/>
        <v>18699.630449668373</v>
      </c>
      <c r="L275" s="258">
        <f t="shared" ca="1" si="109"/>
        <v>24288.76839424705</v>
      </c>
      <c r="M275" s="258">
        <f t="shared" ca="1" si="109"/>
        <v>29272.341961194037</v>
      </c>
      <c r="P275" s="107"/>
      <c r="Q275" s="107"/>
      <c r="R275" s="107"/>
      <c r="S275" s="107"/>
      <c r="T275" s="107"/>
      <c r="U275" s="107"/>
      <c r="V275" s="107"/>
    </row>
  </sheetData>
  <mergeCells count="2">
    <mergeCell ref="B1:M1"/>
    <mergeCell ref="B2:M2"/>
  </mergeCells>
  <phoneticPr fontId="7" type="noConversion"/>
  <pageMargins left="0.5" right="0.5" top="0.5" bottom="0.5" header="0.5" footer="0.5"/>
  <pageSetup scale="95" orientation="landscape" verticalDpi="300" r:id="rId1"/>
  <headerFooter alignWithMargins="0">
    <oddFooter>&amp;C &amp;P&amp;R&amp;F, &amp;D</oddFooter>
  </headerFooter>
  <rowBreaks count="8" manualBreakCount="8">
    <brk id="31" min="1" max="12" man="1"/>
    <brk id="51" min="1" max="12" man="1"/>
    <brk id="88" min="1" max="12" man="1"/>
    <brk id="121" min="1" max="12" man="1"/>
    <brk id="159" min="1" max="12" man="1"/>
    <brk id="190" min="1" max="12" man="1"/>
    <brk id="217" min="1" max="12" man="1"/>
    <brk id="256" min="1" max="12"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8" tint="-0.249977111117893"/>
  </sheetPr>
  <dimension ref="A1:Q117"/>
  <sheetViews>
    <sheetView workbookViewId="0">
      <pane ySplit="4" topLeftCell="A5" activePane="bottomLeft" state="frozen"/>
      <selection pane="bottomLeft" activeCell="A5" sqref="A5"/>
    </sheetView>
  </sheetViews>
  <sheetFormatPr baseColWidth="10" defaultColWidth="8.83203125" defaultRowHeight="13"/>
  <cols>
    <col min="1" max="1" width="6.33203125" style="179" customWidth="1"/>
    <col min="2" max="2" width="9" customWidth="1"/>
    <col min="3" max="4" width="8.5" customWidth="1"/>
    <col min="5" max="5" width="9.6640625" customWidth="1"/>
    <col min="6" max="6" width="12.33203125" customWidth="1"/>
    <col min="7" max="11" width="10.6640625" customWidth="1"/>
    <col min="12" max="12" width="10.5" customWidth="1"/>
    <col min="13" max="13" width="10.1640625" customWidth="1"/>
  </cols>
  <sheetData>
    <row r="1" spans="2:15" ht="18">
      <c r="B1" s="1277" t="s">
        <v>1422</v>
      </c>
      <c r="C1" s="1277"/>
      <c r="D1" s="1277"/>
      <c r="E1" s="1277"/>
      <c r="F1" s="1277"/>
      <c r="G1" s="1277"/>
      <c r="H1" s="1277"/>
      <c r="I1" s="1277"/>
      <c r="J1" s="1277"/>
      <c r="K1" s="1277"/>
      <c r="L1" s="1277"/>
      <c r="M1" s="1277"/>
    </row>
    <row r="2" spans="2:15" ht="18">
      <c r="B2" s="1294" t="str">
        <f>Chem!C5</f>
        <v>LiFePO4 / Graphite</v>
      </c>
      <c r="C2" s="1294"/>
      <c r="D2" s="1294"/>
      <c r="E2" s="1294"/>
      <c r="F2" s="1294"/>
      <c r="G2" s="1294"/>
      <c r="H2" s="1294"/>
      <c r="I2" s="1294"/>
      <c r="J2" s="1294"/>
      <c r="K2" s="1294"/>
      <c r="L2" s="1294"/>
      <c r="M2" s="1294"/>
    </row>
    <row r="3" spans="2:15" ht="36" customHeight="1">
      <c r="B3" s="1319" t="s">
        <v>1384</v>
      </c>
      <c r="C3" s="1320"/>
      <c r="D3" s="1320"/>
      <c r="E3" s="1320"/>
      <c r="F3" s="1320"/>
      <c r="G3" s="1321"/>
      <c r="H3" s="1322" t="s">
        <v>1385</v>
      </c>
      <c r="I3" s="1323"/>
      <c r="J3" s="1323"/>
      <c r="K3" s="1323"/>
      <c r="L3" s="1323"/>
      <c r="M3" s="1324"/>
    </row>
    <row r="4" spans="2:15" ht="18">
      <c r="B4" s="322"/>
      <c r="C4" s="322"/>
      <c r="D4" s="322"/>
      <c r="E4" s="322"/>
      <c r="F4" s="322"/>
      <c r="G4" s="1054" t="s">
        <v>0</v>
      </c>
      <c r="H4" s="1054" t="s">
        <v>1</v>
      </c>
      <c r="I4" s="1054" t="s">
        <v>2</v>
      </c>
      <c r="J4" s="1054" t="s">
        <v>3</v>
      </c>
      <c r="K4" s="1054" t="s">
        <v>4</v>
      </c>
      <c r="L4" s="1054" t="s">
        <v>530</v>
      </c>
      <c r="M4" s="1054" t="s">
        <v>531</v>
      </c>
      <c r="N4" s="42"/>
      <c r="O4" s="12"/>
    </row>
    <row r="5" spans="2:15" ht="14">
      <c r="B5" s="1318" t="s">
        <v>285</v>
      </c>
      <c r="C5" s="1318"/>
      <c r="D5" s="1318"/>
      <c r="E5" s="1318"/>
      <c r="F5" s="1318"/>
      <c r="G5" s="1318"/>
      <c r="H5" s="1318"/>
      <c r="I5" s="1318"/>
      <c r="J5" s="1318"/>
      <c r="K5" s="1318"/>
      <c r="L5" s="1318"/>
      <c r="M5" s="1318"/>
      <c r="N5" s="12"/>
      <c r="O5" s="12"/>
    </row>
    <row r="6" spans="2:15" ht="16">
      <c r="B6" s="1161" t="s">
        <v>24</v>
      </c>
      <c r="C6" s="1162"/>
      <c r="D6" s="1162"/>
      <c r="E6" s="1162"/>
      <c r="F6" s="1162"/>
      <c r="G6" s="1163"/>
      <c r="H6" s="1163"/>
      <c r="I6" s="1163"/>
      <c r="J6" s="1163"/>
      <c r="K6" s="1164"/>
      <c r="L6" s="1164"/>
      <c r="M6" s="1164"/>
    </row>
    <row r="7" spans="2:15">
      <c r="B7" s="1162" t="s">
        <v>488</v>
      </c>
      <c r="C7" s="1162"/>
      <c r="D7" s="1162"/>
      <c r="E7" s="1162"/>
      <c r="F7" s="1162"/>
      <c r="G7" s="1165">
        <f ca="1">'Summary of Results'!G9</f>
        <v>99.999999999999957</v>
      </c>
      <c r="H7" s="1165">
        <f ca="1">'Summary of Results'!H9</f>
        <v>99.999999999999957</v>
      </c>
      <c r="I7" s="1165">
        <f ca="1">'Summary of Results'!I9</f>
        <v>99.999999999999957</v>
      </c>
      <c r="J7" s="1165">
        <f ca="1">'Summary of Results'!J9</f>
        <v>99.999999999999957</v>
      </c>
      <c r="K7" s="1165">
        <f ca="1">'Summary of Results'!K9</f>
        <v>99.999999999999957</v>
      </c>
      <c r="L7" s="1165">
        <f ca="1">'Summary of Results'!L9</f>
        <v>99.999999999999957</v>
      </c>
      <c r="M7" s="1165">
        <f ca="1">'Summary of Results'!M9</f>
        <v>99.999999999999957</v>
      </c>
    </row>
    <row r="8" spans="2:15">
      <c r="B8" s="1162" t="s">
        <v>210</v>
      </c>
      <c r="C8" s="1162"/>
      <c r="D8" s="1162"/>
      <c r="E8" s="1162"/>
      <c r="F8" s="1162"/>
      <c r="G8" s="1165">
        <f ca="1">'Summary of Results'!G12</f>
        <v>406.23900856291681</v>
      </c>
      <c r="H8" s="1165">
        <f ca="1">'Summary of Results'!H12</f>
        <v>406.23900856291681</v>
      </c>
      <c r="I8" s="1165">
        <f ca="1">'Summary of Results'!I12</f>
        <v>406.23900856291681</v>
      </c>
      <c r="J8" s="1165">
        <f ca="1">'Summary of Results'!J12</f>
        <v>406.23900856291681</v>
      </c>
      <c r="K8" s="1165">
        <f ca="1">'Summary of Results'!K12</f>
        <v>406.23900856291681</v>
      </c>
      <c r="L8" s="1165">
        <f ca="1">'Summary of Results'!L12</f>
        <v>406.23900856291681</v>
      </c>
      <c r="M8" s="1165">
        <f ca="1">'Summary of Results'!M12</f>
        <v>406.23900856291681</v>
      </c>
    </row>
    <row r="9" spans="2:15">
      <c r="B9" s="1162" t="s">
        <v>209</v>
      </c>
      <c r="C9" s="1162"/>
      <c r="D9" s="1162"/>
      <c r="E9" s="1162"/>
      <c r="F9" s="1162"/>
      <c r="G9" s="1165">
        <f>'Summary of Results'!G13</f>
        <v>200</v>
      </c>
      <c r="H9" s="1165">
        <f>'Summary of Results'!H13</f>
        <v>200</v>
      </c>
      <c r="I9" s="1165">
        <f>'Summary of Results'!I13</f>
        <v>200</v>
      </c>
      <c r="J9" s="1165">
        <f>'Summary of Results'!J13</f>
        <v>200</v>
      </c>
      <c r="K9" s="1165">
        <f>'Summary of Results'!K13</f>
        <v>200</v>
      </c>
      <c r="L9" s="1165">
        <f>'Summary of Results'!L13</f>
        <v>200</v>
      </c>
      <c r="M9" s="1165">
        <f>'Summary of Results'!M13</f>
        <v>200</v>
      </c>
    </row>
    <row r="10" spans="2:15">
      <c r="B10" s="1162" t="s">
        <v>222</v>
      </c>
      <c r="C10" s="1162"/>
      <c r="D10" s="1162"/>
      <c r="E10" s="1162"/>
      <c r="F10" s="1162"/>
      <c r="G10" s="1166">
        <f>'Battery Design'!G68</f>
        <v>20</v>
      </c>
      <c r="H10" s="1166">
        <f>'Battery Design'!H68</f>
        <v>20</v>
      </c>
      <c r="I10" s="1166">
        <f>'Battery Design'!I68</f>
        <v>20</v>
      </c>
      <c r="J10" s="1166">
        <f>'Battery Design'!J68</f>
        <v>20</v>
      </c>
      <c r="K10" s="1166">
        <f>'Battery Design'!K68</f>
        <v>20</v>
      </c>
      <c r="L10" s="1166">
        <f>'Battery Design'!L68</f>
        <v>20</v>
      </c>
      <c r="M10" s="1166">
        <f>'Battery Design'!M68</f>
        <v>20</v>
      </c>
    </row>
    <row r="11" spans="2:15">
      <c r="B11" s="1162" t="s">
        <v>268</v>
      </c>
      <c r="C11" s="1162"/>
      <c r="D11" s="1162"/>
      <c r="E11" s="1162"/>
      <c r="F11" s="1162"/>
      <c r="G11" s="1167">
        <f>'Battery Design'!G69</f>
        <v>4</v>
      </c>
      <c r="H11" s="1167">
        <f>'Battery Design'!H69</f>
        <v>4</v>
      </c>
      <c r="I11" s="1167">
        <f>'Battery Design'!I69</f>
        <v>4</v>
      </c>
      <c r="J11" s="1167">
        <f>'Battery Design'!J69</f>
        <v>4</v>
      </c>
      <c r="K11" s="1167">
        <f>'Battery Design'!K69</f>
        <v>4</v>
      </c>
      <c r="L11" s="1167">
        <f>'Battery Design'!L69</f>
        <v>4</v>
      </c>
      <c r="M11" s="1167">
        <f>'Battery Design'!M69</f>
        <v>4</v>
      </c>
    </row>
    <row r="12" spans="2:15">
      <c r="B12" s="1162" t="s">
        <v>489</v>
      </c>
      <c r="C12" s="1162"/>
      <c r="D12" s="1162"/>
      <c r="E12" s="1162"/>
      <c r="F12" s="1162"/>
      <c r="G12" s="1166">
        <f>'Battery Design'!G72</f>
        <v>20</v>
      </c>
      <c r="H12" s="1166">
        <f>'Battery Design'!H72</f>
        <v>20</v>
      </c>
      <c r="I12" s="1166">
        <f>'Battery Design'!I72</f>
        <v>20</v>
      </c>
      <c r="J12" s="1166">
        <f>'Battery Design'!J72</f>
        <v>20</v>
      </c>
      <c r="K12" s="1166">
        <f>'Battery Design'!K72</f>
        <v>20</v>
      </c>
      <c r="L12" s="1166">
        <f>'Battery Design'!L72</f>
        <v>20</v>
      </c>
      <c r="M12" s="1166">
        <f>'Battery Design'!M72</f>
        <v>20</v>
      </c>
    </row>
    <row r="13" spans="2:15">
      <c r="B13" s="1162" t="s">
        <v>490</v>
      </c>
      <c r="C13" s="1162"/>
      <c r="D13" s="1162"/>
      <c r="E13" s="1162"/>
      <c r="F13" s="1162"/>
      <c r="G13" s="1166">
        <f>'Battery Design'!G56</f>
        <v>1</v>
      </c>
      <c r="H13" s="1166">
        <f>'Battery Design'!H56</f>
        <v>1</v>
      </c>
      <c r="I13" s="1166">
        <f>'Battery Design'!I56</f>
        <v>1</v>
      </c>
      <c r="J13" s="1166">
        <f>'Battery Design'!J56</f>
        <v>1</v>
      </c>
      <c r="K13" s="1166">
        <f>'Battery Design'!K56</f>
        <v>1</v>
      </c>
      <c r="L13" s="1166">
        <f>'Battery Design'!L56</f>
        <v>1</v>
      </c>
      <c r="M13" s="1166">
        <f>'Battery Design'!M56</f>
        <v>1</v>
      </c>
    </row>
    <row r="14" spans="2:15">
      <c r="B14" s="1162" t="s">
        <v>156</v>
      </c>
      <c r="C14" s="1162"/>
      <c r="D14" s="1162"/>
      <c r="E14" s="1163"/>
      <c r="F14" s="1162"/>
      <c r="G14" s="1165">
        <f ca="1">'Summary of Results'!G5</f>
        <v>339.99999999999983</v>
      </c>
      <c r="H14" s="1165">
        <f ca="1">'Summary of Results'!H5</f>
        <v>339.99999999999983</v>
      </c>
      <c r="I14" s="1165">
        <f ca="1">'Summary of Results'!I5</f>
        <v>339.99999999999983</v>
      </c>
      <c r="J14" s="1165">
        <f ca="1">'Summary of Results'!J5</f>
        <v>339.99999999999983</v>
      </c>
      <c r="K14" s="1165">
        <f ca="1">'Summary of Results'!K5</f>
        <v>339.99999999999983</v>
      </c>
      <c r="L14" s="1165">
        <f ca="1">'Summary of Results'!L5</f>
        <v>339.99999999999983</v>
      </c>
      <c r="M14" s="1165">
        <f ca="1">'Summary of Results'!M5</f>
        <v>339.99999999999983</v>
      </c>
    </row>
    <row r="15" spans="2:15" ht="16">
      <c r="B15" s="1161" t="s">
        <v>68</v>
      </c>
      <c r="C15" s="1168"/>
      <c r="D15" s="1168"/>
      <c r="E15" s="1169"/>
      <c r="F15" s="1170"/>
      <c r="G15" s="1169"/>
      <c r="H15" s="1169"/>
      <c r="I15" s="1169"/>
      <c r="J15" s="1169"/>
      <c r="K15" s="1169"/>
      <c r="L15" s="1169"/>
      <c r="M15" s="1169"/>
    </row>
    <row r="16" spans="2:15">
      <c r="B16" s="1162" t="s">
        <v>135</v>
      </c>
      <c r="C16" s="1162"/>
      <c r="D16" s="1162"/>
      <c r="E16" s="1169"/>
      <c r="F16" s="1170"/>
      <c r="G16" s="1169">
        <f ca="1">'Manufacturing Cost Calculations'!G269</f>
        <v>13.037086044897164</v>
      </c>
      <c r="H16" s="1169">
        <f ca="1">'Manufacturing Cost Calculations'!H269</f>
        <v>100.03407542118714</v>
      </c>
      <c r="I16" s="1169">
        <f ca="1">'Manufacturing Cost Calculations'!I269</f>
        <v>132.44821596592288</v>
      </c>
      <c r="J16" s="1169">
        <f ca="1">'Manufacturing Cost Calculations'!J269</f>
        <v>161.72495902279763</v>
      </c>
      <c r="K16" s="1169">
        <f ca="1">'Manufacturing Cost Calculations'!K269</f>
        <v>188.87860194064089</v>
      </c>
      <c r="L16" s="1169">
        <f ca="1">'Manufacturing Cost Calculations'!L269</f>
        <v>250.5786902797916</v>
      </c>
      <c r="M16" s="1169">
        <f ca="1">'Manufacturing Cost Calculations'!M269</f>
        <v>306.37601327932163</v>
      </c>
    </row>
    <row r="17" spans="2:13">
      <c r="B17" s="1162" t="s">
        <v>143</v>
      </c>
      <c r="C17" s="1162"/>
      <c r="D17" s="1162"/>
      <c r="E17" s="1169"/>
      <c r="F17" s="1170"/>
      <c r="G17" s="1169"/>
      <c r="H17" s="1169"/>
      <c r="I17" s="1169"/>
      <c r="J17" s="1169"/>
      <c r="K17" s="1169"/>
      <c r="L17" s="1169"/>
      <c r="M17" s="1169"/>
    </row>
    <row r="18" spans="2:13" ht="15">
      <c r="B18" s="1162" t="s">
        <v>1380</v>
      </c>
      <c r="C18" s="1162"/>
      <c r="D18" s="1162"/>
      <c r="E18" s="1169"/>
      <c r="F18" s="1170"/>
      <c r="G18" s="1169">
        <f ca="1">'Manufacturing Cost Calculations'!G270</f>
        <v>1743.9266804950307</v>
      </c>
      <c r="H18" s="1169">
        <f ca="1">'Manufacturing Cost Calculations'!H270</f>
        <v>11043.982224687179</v>
      </c>
      <c r="I18" s="1169">
        <f ca="1">'Manufacturing Cost Calculations'!I270</f>
        <v>14276.493857673515</v>
      </c>
      <c r="J18" s="1169">
        <f ca="1">'Manufacturing Cost Calculations'!J270</f>
        <v>17146.219426837484</v>
      </c>
      <c r="K18" s="1169">
        <f ca="1">'Manufacturing Cost Calculations'!K270</f>
        <v>19775.284203911808</v>
      </c>
      <c r="L18" s="1169">
        <f ca="1">'Manufacturing Cost Calculations'!L270</f>
        <v>25660.683546599241</v>
      </c>
      <c r="M18" s="1169">
        <f ca="1">'Manufacturing Cost Calculations'!M270</f>
        <v>30902.728176329918</v>
      </c>
    </row>
    <row r="19" spans="2:13" ht="15">
      <c r="B19" s="1162" t="s">
        <v>1381</v>
      </c>
      <c r="C19" s="1162"/>
      <c r="D19" s="1162"/>
      <c r="E19" s="1169"/>
      <c r="F19" s="1170"/>
      <c r="G19" s="1169">
        <f>'Cost Input'!$K32</f>
        <v>3000</v>
      </c>
      <c r="H19" s="1169">
        <f>'Cost Input'!$K32</f>
        <v>3000</v>
      </c>
      <c r="I19" s="1169">
        <f>'Cost Input'!$K32</f>
        <v>3000</v>
      </c>
      <c r="J19" s="1169">
        <f>'Cost Input'!$K32</f>
        <v>3000</v>
      </c>
      <c r="K19" s="1169">
        <f>'Cost Input'!$K32</f>
        <v>3000</v>
      </c>
      <c r="L19" s="1169">
        <f>'Cost Input'!$K32</f>
        <v>3000</v>
      </c>
      <c r="M19" s="1169">
        <f>'Cost Input'!$K32</f>
        <v>3000</v>
      </c>
    </row>
    <row r="20" spans="2:13">
      <c r="B20" s="1162" t="s">
        <v>144</v>
      </c>
      <c r="C20" s="1162"/>
      <c r="D20" s="1162"/>
      <c r="E20" s="1169"/>
      <c r="F20" s="1170"/>
      <c r="G20" s="1169">
        <f t="shared" ref="G20:L20" ca="1" si="0">G18*G19/1000000</f>
        <v>5.2317800414850923</v>
      </c>
      <c r="H20" s="1169">
        <f t="shared" ca="1" si="0"/>
        <v>33.131946674061538</v>
      </c>
      <c r="I20" s="1169">
        <f t="shared" ca="1" si="0"/>
        <v>42.829481573020544</v>
      </c>
      <c r="J20" s="1169">
        <f t="shared" ca="1" si="0"/>
        <v>51.438658280512449</v>
      </c>
      <c r="K20" s="1169">
        <f t="shared" ca="1" si="0"/>
        <v>59.325852611735428</v>
      </c>
      <c r="L20" s="1169">
        <f t="shared" ca="1" si="0"/>
        <v>76.98205063979772</v>
      </c>
      <c r="M20" s="1169">
        <f ca="1">M18*M19/1000000</f>
        <v>92.708184528989747</v>
      </c>
    </row>
    <row r="21" spans="2:13">
      <c r="B21" s="1162" t="s">
        <v>113</v>
      </c>
      <c r="C21" s="1162"/>
      <c r="D21" s="1162"/>
      <c r="E21" s="1169"/>
      <c r="F21" s="1170"/>
      <c r="G21" s="1169"/>
      <c r="H21" s="1169"/>
      <c r="I21" s="1169"/>
      <c r="J21" s="1169"/>
      <c r="K21" s="1169"/>
      <c r="L21" s="1169"/>
      <c r="M21" s="1169"/>
    </row>
    <row r="22" spans="2:13">
      <c r="B22" s="1162" t="s">
        <v>114</v>
      </c>
      <c r="C22" s="1162"/>
      <c r="D22" s="1162"/>
      <c r="E22" s="1169"/>
      <c r="F22" s="1170"/>
      <c r="G22" s="1169"/>
      <c r="H22" s="1169"/>
      <c r="I22" s="1169"/>
      <c r="J22" s="1169"/>
      <c r="K22" s="1169"/>
      <c r="L22" s="1169"/>
      <c r="M22" s="1169"/>
    </row>
    <row r="23" spans="2:13">
      <c r="B23" s="1162" t="s">
        <v>115</v>
      </c>
      <c r="C23" s="1162"/>
      <c r="D23" s="1162"/>
      <c r="E23" s="1169"/>
      <c r="F23" s="1170"/>
      <c r="G23" s="1169">
        <f ca="1">('Cost Input'!$K34/100*G32+'Cost Input'!$K35/100*(G41+G42))*'Manufacturing Cost Calculations'!G5/1000000</f>
        <v>1.0748033893201514</v>
      </c>
      <c r="H23" s="1169">
        <f ca="1">('Cost Input'!$K34/100*H32+'Cost Input'!$K35/100*(H41+H42))*'Manufacturing Cost Calculations'!H5/1000000</f>
        <v>14.806553362320901</v>
      </c>
      <c r="I23" s="1169">
        <f ca="1">('Cost Input'!$K34/100*I32+'Cost Input'!$K35/100*(I41+I42))*'Manufacturing Cost Calculations'!I5/1000000</f>
        <v>21.563987417614459</v>
      </c>
      <c r="J23" s="1169">
        <f ca="1">('Cost Input'!$K34/100*J32+'Cost Input'!$K35/100*(J41+J42))*'Manufacturing Cost Calculations'!J5/1000000</f>
        <v>28.214217087716232</v>
      </c>
      <c r="K23" s="1169">
        <f ca="1">('Cost Input'!$K34/100*K32+'Cost Input'!$K35/100*(K41+K42))*'Manufacturing Cost Calculations'!K5/1000000</f>
        <v>34.792027336567728</v>
      </c>
      <c r="L23" s="1169">
        <f ca="1">('Cost Input'!$K34/100*L32+'Cost Input'!$K35/100*(L41+L42))*'Manufacturing Cost Calculations'!L5/1000000</f>
        <v>51.02548546724617</v>
      </c>
      <c r="M23" s="1169">
        <f ca="1">('Cost Input'!$K34/100*M32+'Cost Input'!$K35/100*(M41+M42))*'Manufacturing Cost Calculations'!M5/1000000</f>
        <v>67.056912921292152</v>
      </c>
    </row>
    <row r="24" spans="2:13">
      <c r="B24" s="1162" t="s">
        <v>136</v>
      </c>
      <c r="C24" s="1162"/>
      <c r="D24" s="1162"/>
      <c r="E24" s="1169"/>
      <c r="F24" s="1170"/>
      <c r="G24" s="1169">
        <f ca="1">G43*'Manufacturing Cost Calculations'!G5/1000000*'Cost Input'!$K$36/100</f>
        <v>2.6604821533366176</v>
      </c>
      <c r="H24" s="1169">
        <f ca="1">H43*'Manufacturing Cost Calculations'!H5/1000000*'Cost Input'!$K$36/100</f>
        <v>41.499260609189498</v>
      </c>
      <c r="I24" s="1169">
        <f ca="1">I43*'Manufacturing Cost Calculations'!I5/1000000*'Cost Input'!$K$36/100</f>
        <v>61.01510609891907</v>
      </c>
      <c r="J24" s="1169">
        <f ca="1">J43*'Manufacturing Cost Calculations'!J5/1000000*'Cost Input'!$K$36/100</f>
        <v>80.307963336349815</v>
      </c>
      <c r="K24" s="1169">
        <f ca="1">K43*'Manufacturing Cost Calculations'!K5/1000000*'Cost Input'!$K$36/100</f>
        <v>99.447815823022196</v>
      </c>
      <c r="L24" s="1169">
        <f ca="1">L43*'Manufacturing Cost Calculations'!L5/1000000*'Cost Input'!$K$36/100</f>
        <v>146.84448221902809</v>
      </c>
      <c r="M24" s="1169">
        <f ca="1">M43*'Manufacturing Cost Calculations'!M5/1000000*'Cost Input'!$K$36/100</f>
        <v>193.80082160571274</v>
      </c>
    </row>
    <row r="25" spans="2:13">
      <c r="B25" s="1162" t="s">
        <v>146</v>
      </c>
      <c r="C25" s="1162"/>
      <c r="D25" s="1162"/>
      <c r="E25" s="1169"/>
      <c r="F25" s="1170"/>
      <c r="G25" s="1169">
        <f t="shared" ref="G25:L25" ca="1" si="1">G16+G20+G23+G24</f>
        <v>22.004151629039026</v>
      </c>
      <c r="H25" s="1169">
        <f t="shared" ca="1" si="1"/>
        <v>189.47183606675907</v>
      </c>
      <c r="I25" s="1169">
        <f t="shared" ca="1" si="1"/>
        <v>257.85679105547695</v>
      </c>
      <c r="J25" s="1169">
        <f t="shared" ca="1" si="1"/>
        <v>321.6857977273761</v>
      </c>
      <c r="K25" s="1169">
        <f t="shared" ca="1" si="1"/>
        <v>382.44429771196627</v>
      </c>
      <c r="L25" s="1169">
        <f t="shared" ca="1" si="1"/>
        <v>525.43070860586363</v>
      </c>
      <c r="M25" s="1169">
        <f ca="1">M16+M20+M23+M24</f>
        <v>659.94193233531632</v>
      </c>
    </row>
    <row r="26" spans="2:13" ht="16">
      <c r="B26" s="1161" t="s">
        <v>282</v>
      </c>
      <c r="C26" s="1168"/>
      <c r="D26" s="1168"/>
      <c r="E26" s="1169"/>
      <c r="F26" s="1170"/>
      <c r="G26" s="1169"/>
      <c r="H26" s="1169"/>
      <c r="I26" s="1169"/>
      <c r="J26" s="1169"/>
      <c r="K26" s="1169"/>
      <c r="L26" s="1169"/>
      <c r="M26" s="1169"/>
    </row>
    <row r="27" spans="2:13" ht="14">
      <c r="B27" s="1171" t="s">
        <v>73</v>
      </c>
      <c r="C27" s="1172"/>
      <c r="D27" s="1172"/>
      <c r="E27" s="1169"/>
      <c r="F27" s="1170"/>
      <c r="G27" s="1169"/>
      <c r="H27" s="1169"/>
      <c r="I27" s="1169"/>
      <c r="J27" s="1169"/>
      <c r="K27" s="1169"/>
      <c r="L27" s="1169"/>
      <c r="M27" s="1169"/>
    </row>
    <row r="28" spans="2:13">
      <c r="B28" s="1173" t="s">
        <v>116</v>
      </c>
      <c r="C28" s="1162"/>
      <c r="D28" s="1162"/>
      <c r="E28" s="1169"/>
      <c r="F28" s="1170"/>
      <c r="G28" s="1169"/>
      <c r="H28" s="1169"/>
      <c r="I28" s="1169"/>
      <c r="J28" s="1169"/>
      <c r="K28" s="1169"/>
      <c r="L28" s="1169"/>
      <c r="M28" s="1169"/>
    </row>
    <row r="29" spans="2:13">
      <c r="B29" s="1162" t="s">
        <v>1235</v>
      </c>
      <c r="C29" s="1162"/>
      <c r="D29" s="1162"/>
      <c r="E29" s="1169"/>
      <c r="F29" s="1170"/>
      <c r="G29" s="1169">
        <f ca="1">'Summary of Results'!G65</f>
        <v>12116.589315042083</v>
      </c>
      <c r="H29" s="1169">
        <f ca="1">'Summary of Results'!H65</f>
        <v>11494.596771315521</v>
      </c>
      <c r="I29" s="1169">
        <f ca="1">'Summary of Results'!I65</f>
        <v>11423.836971934843</v>
      </c>
      <c r="J29" s="1169">
        <f ca="1">'Summary of Results'!J65</f>
        <v>11375.34390729081</v>
      </c>
      <c r="K29" s="1169">
        <f ca="1">'Summary of Results'!K65</f>
        <v>11338.678816052925</v>
      </c>
      <c r="L29" s="1169">
        <f ca="1">'Summary of Results'!L65</f>
        <v>11274.114494460064</v>
      </c>
      <c r="M29" s="1169">
        <f ca="1">'Summary of Results'!M65</f>
        <v>11229.867311057849</v>
      </c>
    </row>
    <row r="30" spans="2:13">
      <c r="B30" s="1162" t="s">
        <v>1234</v>
      </c>
      <c r="C30" s="1162"/>
      <c r="D30" s="1162"/>
      <c r="E30" s="1169"/>
      <c r="F30" s="1170"/>
      <c r="G30" s="1169">
        <f ca="1">'Summary of Results'!G66</f>
        <v>895.67745134761049</v>
      </c>
      <c r="H30" s="1169">
        <f ca="1">'Summary of Results'!H66</f>
        <v>491.97795378973501</v>
      </c>
      <c r="I30" s="1169">
        <f ca="1">'Summary of Results'!I66</f>
        <v>453.65676346410658</v>
      </c>
      <c r="J30" s="1169">
        <f ca="1">'Summary of Results'!J66</f>
        <v>428.29168480092835</v>
      </c>
      <c r="K30" s="1169">
        <f ca="1">'Summary of Results'!K66</f>
        <v>409.59782339865438</v>
      </c>
      <c r="L30" s="1169">
        <f ca="1">'Summary of Results'!L66</f>
        <v>377.6933934815948</v>
      </c>
      <c r="M30" s="1169">
        <f ca="1">'Summary of Results'!M66</f>
        <v>356.57561588456497</v>
      </c>
    </row>
    <row r="31" spans="2:13">
      <c r="B31" s="1162" t="s">
        <v>1236</v>
      </c>
      <c r="C31" s="1162"/>
      <c r="D31" s="1162"/>
      <c r="E31" s="1169"/>
      <c r="F31" s="1170"/>
      <c r="G31" s="1169">
        <f ca="1">'Manufacturing Cost Calculations'!G97*'Battery Design'!G72</f>
        <v>964.76082502884299</v>
      </c>
      <c r="H31" s="1169">
        <f ca="1">'Manufacturing Cost Calculations'!H97*'Battery Design'!H72</f>
        <v>873.04565203350637</v>
      </c>
      <c r="I31" s="1169">
        <f ca="1">'Manufacturing Cost Calculations'!I97*'Battery Design'!I72</f>
        <v>864.33958571099777</v>
      </c>
      <c r="J31" s="1169">
        <f ca="1">'Manufacturing Cost Calculations'!J97*'Battery Design'!J72</f>
        <v>858.57697616675341</v>
      </c>
      <c r="K31" s="1169">
        <f ca="1">'Manufacturing Cost Calculations'!K97*'Battery Design'!K72</f>
        <v>854.32997872724172</v>
      </c>
      <c r="L31" s="1169">
        <f ca="1">'Manufacturing Cost Calculations'!L97*'Battery Design'!L72</f>
        <v>847.08171528658397</v>
      </c>
      <c r="M31" s="1169">
        <f ca="1">'Manufacturing Cost Calculations'!M97*'Battery Design'!M72</f>
        <v>842.28403622751841</v>
      </c>
    </row>
    <row r="32" spans="2:13">
      <c r="B32" s="1162" t="s">
        <v>1060</v>
      </c>
      <c r="C32" s="1162"/>
      <c r="D32" s="1162"/>
      <c r="E32" s="1169"/>
      <c r="F32" s="1170"/>
      <c r="G32" s="1169">
        <f t="shared" ref="G32:L32" ca="1" si="2">SUM(G29:G31)</f>
        <v>13977.027591418537</v>
      </c>
      <c r="H32" s="1169">
        <f t="shared" ca="1" si="2"/>
        <v>12859.620377138763</v>
      </c>
      <c r="I32" s="1169">
        <f t="shared" ca="1" si="2"/>
        <v>12741.833321109947</v>
      </c>
      <c r="J32" s="1169">
        <f t="shared" ca="1" si="2"/>
        <v>12662.212568258492</v>
      </c>
      <c r="K32" s="1169">
        <f t="shared" ca="1" si="2"/>
        <v>12602.606618178823</v>
      </c>
      <c r="L32" s="1169">
        <f t="shared" ca="1" si="2"/>
        <v>12498.889603228243</v>
      </c>
      <c r="M32" s="1169">
        <f ca="1">SUM(M29:M31)</f>
        <v>12428.726963169933</v>
      </c>
    </row>
    <row r="33" spans="2:13">
      <c r="B33" s="1173" t="s">
        <v>1189</v>
      </c>
      <c r="C33" s="1162"/>
      <c r="D33" s="1162"/>
      <c r="E33" s="1174"/>
      <c r="F33" s="1170"/>
      <c r="G33" s="1169"/>
      <c r="H33" s="1169"/>
      <c r="I33" s="1169"/>
      <c r="J33" s="1169"/>
      <c r="K33" s="1169"/>
      <c r="L33" s="1169"/>
      <c r="M33" s="1169"/>
    </row>
    <row r="34" spans="2:13">
      <c r="B34" s="1162" t="s">
        <v>1237</v>
      </c>
      <c r="C34" s="1162"/>
      <c r="D34" s="1162"/>
      <c r="E34" s="1169"/>
      <c r="F34" s="1170"/>
      <c r="G34" s="1169">
        <f ca="1">'Summary of Results'!G71</f>
        <v>520.88129858119453</v>
      </c>
      <c r="H34" s="1169">
        <f ca="1">'Summary of Results'!H71</f>
        <v>124.72689889667883</v>
      </c>
      <c r="I34" s="1169">
        <f ca="1">'Summary of Results'!I71</f>
        <v>103.28888720232111</v>
      </c>
      <c r="J34" s="1169">
        <f ca="1">'Summary of Results'!J71</f>
        <v>90.424179059065906</v>
      </c>
      <c r="K34" s="1169">
        <f ca="1">'Summary of Results'!K71</f>
        <v>81.59771255085893</v>
      </c>
      <c r="L34" s="1169">
        <f ca="1">'Summary of Results'!L71</f>
        <v>67.7782555255896</v>
      </c>
      <c r="M34" s="1169">
        <f ca="1">'Summary of Results'!M71</f>
        <v>59.468373786758697</v>
      </c>
    </row>
    <row r="35" spans="2:13">
      <c r="B35" s="1162" t="s">
        <v>1238</v>
      </c>
      <c r="C35" s="1162"/>
      <c r="D35" s="1162"/>
      <c r="E35" s="1169"/>
      <c r="F35" s="1170"/>
      <c r="G35" s="1169">
        <f ca="1">'Summary of Results'!G72</f>
        <v>565.45453839108723</v>
      </c>
      <c r="H35" s="1169">
        <f ca="1">'Summary of Results'!H72</f>
        <v>157.53809871289906</v>
      </c>
      <c r="I35" s="1169">
        <f ca="1">'Summary of Results'!I72</f>
        <v>133.91923437583566</v>
      </c>
      <c r="J35" s="1169">
        <f ca="1">'Summary of Results'!J72</f>
        <v>119.50395310220617</v>
      </c>
      <c r="K35" s="1169">
        <f ca="1">'Summary of Results'!K72</f>
        <v>109.48257584690421</v>
      </c>
      <c r="L35" s="1169">
        <f ca="1">'Summary of Results'!L72</f>
        <v>93.52747708401246</v>
      </c>
      <c r="M35" s="1169">
        <f ca="1">'Summary of Results'!M72</f>
        <v>83.741964520761357</v>
      </c>
    </row>
    <row r="36" spans="2:13">
      <c r="B36" s="1162" t="s">
        <v>1239</v>
      </c>
      <c r="C36" s="1162"/>
      <c r="D36" s="1162"/>
      <c r="E36" s="1169"/>
      <c r="F36" s="1170"/>
      <c r="G36" s="1169">
        <f>'Summary of Results'!G73</f>
        <v>268.88932491527538</v>
      </c>
      <c r="H36" s="1169">
        <f>'Summary of Results'!H73</f>
        <v>66.728222516077224</v>
      </c>
      <c r="I36" s="1169">
        <f>'Summary of Results'!I73</f>
        <v>55.459477030429717</v>
      </c>
      <c r="J36" s="1169">
        <f>'Summary of Results'!J73</f>
        <v>48.662245139358255</v>
      </c>
      <c r="K36" s="1169">
        <f>'Summary of Results'!K73</f>
        <v>43.981234243997534</v>
      </c>
      <c r="L36" s="1169">
        <f>'Summary of Results'!L73</f>
        <v>36.619872166908998</v>
      </c>
      <c r="M36" s="1169">
        <f>'Summary of Results'!M73</f>
        <v>32.171893240323534</v>
      </c>
    </row>
    <row r="37" spans="2:13">
      <c r="B37" s="1162" t="s">
        <v>1240</v>
      </c>
      <c r="C37" s="1162"/>
      <c r="D37" s="1162"/>
      <c r="E37" s="1169"/>
      <c r="F37" s="1170"/>
      <c r="G37" s="1169">
        <f>'Cost Input'!$K$39/'Manufacturing Cost Calculations'!G$5*('Manufacturing Cost Calculations'!G243+2/3*'Manufacturing Cost Calculations'!G249)</f>
        <v>433.77413387153456</v>
      </c>
      <c r="H37" s="1169">
        <f>'Cost Input'!$K$39/'Manufacturing Cost Calculations'!H$5*('Manufacturing Cost Calculations'!H243+2/3*'Manufacturing Cost Calculations'!H249)</f>
        <v>96.994845021784556</v>
      </c>
      <c r="I37" s="1169">
        <f>'Cost Input'!$K$39/'Manufacturing Cost Calculations'!I$5*('Manufacturing Cost Calculations'!I243+2/3*'Manufacturing Cost Calculations'!I249)</f>
        <v>79.195959327901733</v>
      </c>
      <c r="J37" s="1169">
        <f>'Cost Input'!$K$39/'Manufacturing Cost Calculations'!J$5*('Manufacturing Cost Calculations'!J243+2/3*'Manufacturing Cost Calculations'!J249)</f>
        <v>68.585712655042087</v>
      </c>
      <c r="K37" s="1169">
        <f>'Cost Input'!$K$39/'Manufacturing Cost Calculations'!K$5*('Manufacturing Cost Calculations'!K243+2/3*'Manufacturing Cost Calculations'!K249)</f>
        <v>61.344926312776671</v>
      </c>
      <c r="L37" s="1169">
        <f>'Cost Input'!$K$39/'Manufacturing Cost Calculations'!L$5*('Manufacturing Cost Calculations'!L243+2/3*'Manufacturing Cost Calculations'!L249)</f>
        <v>50.087922591645452</v>
      </c>
      <c r="M37" s="1169">
        <f>'Cost Input'!$K$39/'Manufacturing Cost Calculations'!M$5*('Manufacturing Cost Calculations'!M243+2/3*'Manufacturing Cost Calculations'!M249)</f>
        <v>43.37741338715346</v>
      </c>
    </row>
    <row r="38" spans="2:13">
      <c r="B38" s="1162" t="s">
        <v>1241</v>
      </c>
      <c r="C38" s="1162"/>
      <c r="D38" s="1162"/>
      <c r="E38" s="1169"/>
      <c r="F38" s="1170"/>
      <c r="G38" s="1169">
        <f>'Summary of Results'!G75</f>
        <v>13.661719529672375</v>
      </c>
      <c r="H38" s="1169">
        <f>'Summary of Results'!H75</f>
        <v>5.5615566650424331</v>
      </c>
      <c r="I38" s="1169">
        <f>'Summary of Results'!I75</f>
        <v>4.9245776390163165</v>
      </c>
      <c r="J38" s="1169">
        <f>'Summary of Results'!J75</f>
        <v>4.5173877286517099</v>
      </c>
      <c r="K38" s="1169">
        <f>'Summary of Results'!K75</f>
        <v>4.2248798614344691</v>
      </c>
      <c r="L38" s="1169">
        <f>'Summary of Results'!L75</f>
        <v>3.7409937803792546</v>
      </c>
      <c r="M38" s="1169">
        <f>'Summary of Results'!M75</f>
        <v>3.4316687917673483</v>
      </c>
    </row>
    <row r="39" spans="2:13">
      <c r="B39" s="1162" t="s">
        <v>1242</v>
      </c>
      <c r="C39" s="1162"/>
      <c r="D39" s="1162"/>
      <c r="E39" s="1169"/>
      <c r="F39" s="1170"/>
      <c r="G39" s="1169">
        <f ca="1">'Summary of Results'!G76</f>
        <v>349.0306142700573</v>
      </c>
      <c r="H39" s="1169">
        <f ca="1">'Summary of Results'!H76</f>
        <v>71.293344676383938</v>
      </c>
      <c r="I39" s="1169">
        <f ca="1">'Summary of Results'!I76</f>
        <v>57.583572536296828</v>
      </c>
      <c r="J39" s="1169">
        <f ca="1">'Summary of Results'!J76</f>
        <v>49.496591148005571</v>
      </c>
      <c r="K39" s="1169">
        <f ca="1">'Summary of Results'!K76</f>
        <v>44.019359667608235</v>
      </c>
      <c r="L39" s="1169">
        <f ca="1">'Summary of Results'!L76</f>
        <v>35.579712321543688</v>
      </c>
      <c r="M39" s="1169">
        <f ca="1">'Summary of Results'!M76</f>
        <v>30.598119305422827</v>
      </c>
    </row>
    <row r="40" spans="2:13">
      <c r="B40" s="1162" t="s">
        <v>1243</v>
      </c>
      <c r="C40" s="1162"/>
      <c r="D40" s="1162"/>
      <c r="E40" s="1169"/>
      <c r="F40" s="1170"/>
      <c r="G40" s="1169">
        <f ca="1">'Summary of Results'!G77</f>
        <v>185.903200617956</v>
      </c>
      <c r="H40" s="1169">
        <f ca="1">'Summary of Results'!H77</f>
        <v>41.569219381653049</v>
      </c>
      <c r="I40" s="1169">
        <f ca="1">'Summary of Results'!I77</f>
        <v>33.941125496954271</v>
      </c>
      <c r="J40" s="1169">
        <f ca="1">'Summary of Results'!J77</f>
        <v>29.393876913398135</v>
      </c>
      <c r="K40" s="1169">
        <f ca="1">'Summary of Results'!K77</f>
        <v>26.290682760247968</v>
      </c>
      <c r="L40" s="1169">
        <f ca="1">'Summary of Results'!L77</f>
        <v>21.466252583997978</v>
      </c>
      <c r="M40" s="1169">
        <f ca="1">'Summary of Results'!M77</f>
        <v>18.590320061795598</v>
      </c>
    </row>
    <row r="41" spans="2:13">
      <c r="B41" s="1162" t="s">
        <v>1244</v>
      </c>
      <c r="C41" s="1175"/>
      <c r="D41" s="1175"/>
      <c r="E41" s="1162"/>
      <c r="F41" s="1170"/>
      <c r="G41" s="1169">
        <f t="shared" ref="G41:L41" ca="1" si="3">SUM(G34:G40)</f>
        <v>2337.5948301767776</v>
      </c>
      <c r="H41" s="1169">
        <f t="shared" ca="1" si="3"/>
        <v>564.41218587051912</v>
      </c>
      <c r="I41" s="1169">
        <f t="shared" ca="1" si="3"/>
        <v>468.31283360875562</v>
      </c>
      <c r="J41" s="1169">
        <f t="shared" ca="1" si="3"/>
        <v>410.58394574572782</v>
      </c>
      <c r="K41" s="1169">
        <f t="shared" ca="1" si="3"/>
        <v>370.94137124382803</v>
      </c>
      <c r="L41" s="1169">
        <f t="shared" ca="1" si="3"/>
        <v>308.8004860540774</v>
      </c>
      <c r="M41" s="1169">
        <f ca="1">SUM(M34:M40)</f>
        <v>271.3797530939828</v>
      </c>
    </row>
    <row r="42" spans="2:13">
      <c r="B42" s="1162" t="s">
        <v>122</v>
      </c>
      <c r="C42" s="1162"/>
      <c r="D42" s="1162"/>
      <c r="E42" s="1176"/>
      <c r="F42" s="1169"/>
      <c r="G42" s="1177">
        <f ca="1">'Cost Input'!$K41/100*'Prices of Cells and Modules'!G41+'Cost Input'!$K42/100*'Prices of Cells and Modules'!G47</f>
        <v>1421.9252673154676</v>
      </c>
      <c r="H42" s="1177">
        <f ca="1">'Cost Input'!$K41/100*'Prices of Cells and Modules'!H41+'Cost Input'!$K42/100*'Prices of Cells and Modules'!H47</f>
        <v>409.05430672055036</v>
      </c>
      <c r="I42" s="1177">
        <f ca="1">'Cost Input'!$K41/100*'Prices of Cells and Modules'!I41+'Cost Input'!$K42/100*'Prices of Cells and Modules'!I47</f>
        <v>348.76631170775681</v>
      </c>
      <c r="J42" s="1177">
        <f ca="1">'Cost Input'!$K41/100*'Prices of Cells and Modules'!J41+'Cost Input'!$K42/100*'Prices of Cells and Modules'!J47</f>
        <v>311.864042054084</v>
      </c>
      <c r="K42" s="1177">
        <f ca="1">'Cost Input'!$K41/100*'Prices of Cells and Modules'!K41+'Cost Input'!$K42/100*'Prices of Cells and Modules'!K47</f>
        <v>286.1607869803056</v>
      </c>
      <c r="L42" s="1177">
        <f ca="1">'Cost Input'!$K41/100*'Prices of Cells and Modules'!L41+'Cost Input'!$K42/100*'Prices of Cells and Modules'!L47</f>
        <v>245.15277463128916</v>
      </c>
      <c r="M42" s="1177">
        <f ca="1">'Cost Input'!$K41/100*'Prices of Cells and Modules'!M41+'Cost Input'!$K42/100*'Prices of Cells and Modules'!M47</f>
        <v>219.94805745026599</v>
      </c>
    </row>
    <row r="43" spans="2:13">
      <c r="B43" s="1162" t="s">
        <v>123</v>
      </c>
      <c r="C43" s="1162"/>
      <c r="D43" s="1162"/>
      <c r="E43" s="1176"/>
      <c r="F43" s="1169"/>
      <c r="G43" s="1177">
        <f ca="1">G32+G41+G42</f>
        <v>17736.547688910781</v>
      </c>
      <c r="H43" s="1177">
        <f t="shared" ref="H43:L43" ca="1" si="4">H32+H41+H42</f>
        <v>13833.086869729832</v>
      </c>
      <c r="I43" s="1177">
        <f t="shared" ca="1" si="4"/>
        <v>13558.91246642646</v>
      </c>
      <c r="J43" s="1177">
        <f t="shared" ca="1" si="4"/>
        <v>13384.660556058303</v>
      </c>
      <c r="K43" s="1177">
        <f t="shared" ca="1" si="4"/>
        <v>13259.708776402957</v>
      </c>
      <c r="L43" s="1177">
        <f t="shared" ca="1" si="4"/>
        <v>13052.842863913609</v>
      </c>
      <c r="M43" s="1177">
        <f ca="1">M32+M41+M42</f>
        <v>12920.054773714182</v>
      </c>
    </row>
    <row r="44" spans="2:13" ht="14">
      <c r="B44" s="1171" t="s">
        <v>75</v>
      </c>
      <c r="C44" s="1172"/>
      <c r="D44" s="1172"/>
      <c r="E44" s="1169"/>
      <c r="F44" s="1169"/>
      <c r="G44" s="1178"/>
      <c r="H44" s="1178"/>
      <c r="I44" s="1178"/>
      <c r="J44" s="1178"/>
      <c r="K44" s="1178"/>
      <c r="L44" s="1178"/>
      <c r="M44" s="1178"/>
    </row>
    <row r="45" spans="2:13">
      <c r="B45" s="1162" t="s">
        <v>1070</v>
      </c>
      <c r="C45" s="1162"/>
      <c r="D45" s="1162"/>
      <c r="E45" s="1169"/>
      <c r="F45" s="1169"/>
      <c r="G45" s="1177">
        <f ca="1">'Cost Input'!$K45/100*(G41+G42)+'Cost Input'!$K46/100*G47</f>
        <v>1548.4891934290069</v>
      </c>
      <c r="H45" s="1177">
        <f ca="1">'Cost Input'!$K45/100*(H41+H42)+'Cost Input'!$K46/100*H47</f>
        <v>472.4784136131957</v>
      </c>
      <c r="I45" s="1177">
        <f ca="1">'Cost Input'!$K45/100*(I41+I42)+'Cost Input'!$K46/100*I47</f>
        <v>406.07125915944624</v>
      </c>
      <c r="J45" s="1177">
        <f ca="1">'Cost Input'!$K45/100*(J41+J42)+'Cost Input'!$K46/100*J47</f>
        <v>365.15007664469397</v>
      </c>
      <c r="K45" s="1177">
        <f ca="1">'Cost Input'!$K45/100*(K41+K42)+'Cost Input'!$K46/100*K47</f>
        <v>336.50583765950137</v>
      </c>
      <c r="L45" s="1177">
        <f ca="1">'Cost Input'!$K45/100*(L41+L42)+'Cost Input'!$K46/100*L47</f>
        <v>290.52904043341437</v>
      </c>
      <c r="M45" s="1177">
        <f ca="1">'Cost Input'!$K45/100*(M41+M42)+'Cost Input'!$K46/100*M47</f>
        <v>262.07714790190323</v>
      </c>
    </row>
    <row r="46" spans="2:13">
      <c r="B46" s="1162" t="s">
        <v>1071</v>
      </c>
      <c r="C46" s="1162"/>
      <c r="D46" s="1162"/>
      <c r="E46" s="1169"/>
      <c r="F46" s="1169"/>
      <c r="G46" s="1177">
        <f ca="1">G47*'Cost Input'!$K47/100</f>
        <v>973.77467048951291</v>
      </c>
      <c r="H46" s="1177">
        <f ca="1">H47*'Cost Input'!$K47/100</f>
        <v>366.57886474468535</v>
      </c>
      <c r="I46" s="1177">
        <f ca="1">I47*'Cost Input'!$K47/100</f>
        <v>322.88235652850898</v>
      </c>
      <c r="J46" s="1177">
        <f ca="1">J47*'Cost Input'!$K47/100</f>
        <v>295.26092751158569</v>
      </c>
      <c r="K46" s="1177">
        <f ca="1">K47*'Cost Input'!$K47/100</f>
        <v>275.56847696554871</v>
      </c>
      <c r="L46" s="1177">
        <f ca="1">L47*'Cost Input'!$K47/100</f>
        <v>243.26516041931643</v>
      </c>
      <c r="M46" s="1177">
        <f ca="1">M47*'Cost Input'!$K47/100</f>
        <v>222.7923124253457</v>
      </c>
    </row>
    <row r="47" spans="2:13">
      <c r="B47" s="1162" t="s">
        <v>1072</v>
      </c>
      <c r="C47" s="1162"/>
      <c r="D47" s="1162"/>
      <c r="E47" s="1169"/>
      <c r="F47" s="1169"/>
      <c r="G47" s="1177">
        <f ca="1">('Cost Input'!$K49/100*'Manufacturing Cost Calculations'!G269+'Cost Input'!$K50/100*'Manufacturing Cost Calculations'!G270*'Cost Input'!$K32/1000000)*1000000/'Manufacturing Cost Calculations'!G5</f>
        <v>2434.4366762237823</v>
      </c>
      <c r="H47" s="1177">
        <f ca="1">('Cost Input'!$K49/100*'Manufacturing Cost Calculations'!H269+'Cost Input'!$K50/100*'Manufacturing Cost Calculations'!H270*'Cost Input'!$K32/1000000)*1000000/'Manufacturing Cost Calculations'!H5</f>
        <v>916.44716186171343</v>
      </c>
      <c r="I47" s="1177">
        <f ca="1">('Cost Input'!$K49/100*'Manufacturing Cost Calculations'!I269+'Cost Input'!$K50/100*'Manufacturing Cost Calculations'!I270*'Cost Input'!$K32/1000000)*1000000/'Manufacturing Cost Calculations'!I5</f>
        <v>807.20589132127247</v>
      </c>
      <c r="J47" s="1177">
        <f ca="1">('Cost Input'!$K49/100*'Manufacturing Cost Calculations'!J269+'Cost Input'!$K50/100*'Manufacturing Cost Calculations'!J270*'Cost Input'!$K32/1000000)*1000000/'Manufacturing Cost Calculations'!J5</f>
        <v>738.15231877896417</v>
      </c>
      <c r="K47" s="1177">
        <f ca="1">('Cost Input'!$K49/100*'Manufacturing Cost Calculations'!K269+'Cost Input'!$K50/100*'Manufacturing Cost Calculations'!K270*'Cost Input'!$K32/1000000)*1000000/'Manufacturing Cost Calculations'!K5</f>
        <v>688.92119241387172</v>
      </c>
      <c r="L47" s="1177">
        <f ca="1">('Cost Input'!$K49/100*'Manufacturing Cost Calculations'!L269+'Cost Input'!$K50/100*'Manufacturing Cost Calculations'!L270*'Cost Input'!$K32/1000000)*1000000/'Manufacturing Cost Calculations'!L5</f>
        <v>608.16290104829102</v>
      </c>
      <c r="M47" s="1177">
        <f ca="1">('Cost Input'!$K49/100*'Manufacturing Cost Calculations'!M269+'Cost Input'!$K50/100*'Manufacturing Cost Calculations'!M270*'Cost Input'!$K32/1000000)*1000000/'Manufacturing Cost Calculations'!M5</f>
        <v>556.98078106336425</v>
      </c>
    </row>
    <row r="48" spans="2:13">
      <c r="B48" s="1162" t="s">
        <v>1245</v>
      </c>
      <c r="C48" s="1162"/>
      <c r="D48" s="1162"/>
      <c r="E48" s="1169"/>
      <c r="F48" s="1169"/>
      <c r="G48" s="1179">
        <f t="shared" ref="G48:L48" ca="1" si="5">G45+G46+G47</f>
        <v>4956.7005401423021</v>
      </c>
      <c r="H48" s="1179">
        <f t="shared" ca="1" si="5"/>
        <v>1755.5044402195945</v>
      </c>
      <c r="I48" s="1179">
        <f t="shared" ca="1" si="5"/>
        <v>1536.1595070092276</v>
      </c>
      <c r="J48" s="1179">
        <f t="shared" ca="1" si="5"/>
        <v>1398.5633229352438</v>
      </c>
      <c r="K48" s="1179">
        <f t="shared" ca="1" si="5"/>
        <v>1300.9955070389219</v>
      </c>
      <c r="L48" s="1179">
        <f t="shared" ca="1" si="5"/>
        <v>1141.9571019010218</v>
      </c>
      <c r="M48" s="1179">
        <f ca="1">M45+M46+M47</f>
        <v>1041.8502413906131</v>
      </c>
    </row>
    <row r="49" spans="2:13">
      <c r="B49" s="1162" t="s">
        <v>1246</v>
      </c>
      <c r="C49" s="1162"/>
      <c r="D49" s="1162"/>
      <c r="E49" s="1180"/>
      <c r="F49" s="1169"/>
      <c r="G49" s="1177">
        <f ca="1">'Cost Input'!$K51/100*G25*1000000/'Manufacturing Cost Calculations'!G5</f>
        <v>1100.2075814519515</v>
      </c>
      <c r="H49" s="1177">
        <f ca="1">'Cost Input'!$K51/100*H25*1000000/'Manufacturing Cost Calculations'!H5</f>
        <v>473.6795901668977</v>
      </c>
      <c r="I49" s="1177">
        <f ca="1">'Cost Input'!$K51/100*I25*1000000/'Manufacturing Cost Calculations'!I5</f>
        <v>429.76131842579491</v>
      </c>
      <c r="J49" s="1177">
        <f ca="1">'Cost Input'!$K51/100*J25*1000000/'Manufacturing Cost Calculations'!J5</f>
        <v>402.10724715922009</v>
      </c>
      <c r="K49" s="1177">
        <f ca="1">'Cost Input'!$K51/100*K25*1000000/'Manufacturing Cost Calculations'!K5</f>
        <v>382.44429771196627</v>
      </c>
      <c r="L49" s="1177">
        <f ca="1">'Cost Input'!$K51/100*L25*1000000/'Manufacturing Cost Calculations'!L5</f>
        <v>350.28713907057579</v>
      </c>
      <c r="M49" s="1177">
        <f ca="1">'Cost Input'!$K51/100*M25*1000000/'Manufacturing Cost Calculations'!M5</f>
        <v>329.97096616765816</v>
      </c>
    </row>
    <row r="50" spans="2:13">
      <c r="B50" s="1162" t="s">
        <v>1247</v>
      </c>
      <c r="C50" s="1162"/>
      <c r="D50" s="1162"/>
      <c r="E50" s="1169"/>
      <c r="F50" s="1169"/>
      <c r="G50" s="1179">
        <f t="shared" ref="G50:L50" ca="1" si="6">G43+G48+G49</f>
        <v>23793.455810505035</v>
      </c>
      <c r="H50" s="1179">
        <f t="shared" ca="1" si="6"/>
        <v>16062.270900116324</v>
      </c>
      <c r="I50" s="1179">
        <f t="shared" ca="1" si="6"/>
        <v>15524.833291861483</v>
      </c>
      <c r="J50" s="1179">
        <f t="shared" ca="1" si="6"/>
        <v>15185.331126152767</v>
      </c>
      <c r="K50" s="1179">
        <f t="shared" ca="1" si="6"/>
        <v>14943.148581153846</v>
      </c>
      <c r="L50" s="1179">
        <f t="shared" ca="1" si="6"/>
        <v>14545.087104885206</v>
      </c>
      <c r="M50" s="1179">
        <f ca="1">M43+M48+M49</f>
        <v>14291.875981272455</v>
      </c>
    </row>
    <row r="51" spans="2:13" ht="16">
      <c r="B51" s="1161" t="s">
        <v>138</v>
      </c>
      <c r="C51" s="1168"/>
      <c r="D51" s="1168"/>
      <c r="E51" s="1169"/>
      <c r="F51" s="1169"/>
      <c r="G51" s="1178"/>
      <c r="H51" s="1178"/>
      <c r="I51" s="1178"/>
      <c r="J51" s="1178"/>
      <c r="K51" s="1178"/>
      <c r="L51" s="1178"/>
      <c r="M51" s="1178"/>
    </row>
    <row r="52" spans="2:13">
      <c r="B52" s="1162" t="s">
        <v>1172</v>
      </c>
      <c r="C52" s="1162"/>
      <c r="D52" s="1162"/>
      <c r="E52" s="1162"/>
      <c r="F52" s="1162"/>
      <c r="G52" s="1181">
        <f t="shared" ref="G52:L52" ca="1" si="7">G29</f>
        <v>12116.589315042083</v>
      </c>
      <c r="H52" s="1181">
        <f t="shared" ca="1" si="7"/>
        <v>11494.596771315521</v>
      </c>
      <c r="I52" s="1181">
        <f t="shared" ca="1" si="7"/>
        <v>11423.836971934843</v>
      </c>
      <c r="J52" s="1181">
        <f t="shared" ca="1" si="7"/>
        <v>11375.34390729081</v>
      </c>
      <c r="K52" s="1181">
        <f t="shared" ca="1" si="7"/>
        <v>11338.678816052925</v>
      </c>
      <c r="L52" s="1181">
        <f t="shared" ca="1" si="7"/>
        <v>11274.114494460064</v>
      </c>
      <c r="M52" s="1181">
        <f ca="1">M29</f>
        <v>11229.867311057849</v>
      </c>
    </row>
    <row r="53" spans="2:13">
      <c r="B53" s="1162" t="s">
        <v>1248</v>
      </c>
      <c r="C53" s="1162"/>
      <c r="D53" s="1162"/>
      <c r="E53" s="1162"/>
      <c r="F53" s="1162"/>
      <c r="G53" s="1181">
        <f t="shared" ref="G53:L53" ca="1" si="8">G30+G31</f>
        <v>1860.4382763764534</v>
      </c>
      <c r="H53" s="1181">
        <f t="shared" ca="1" si="8"/>
        <v>1365.0236058232413</v>
      </c>
      <c r="I53" s="1181">
        <f t="shared" ca="1" si="8"/>
        <v>1317.9963491751043</v>
      </c>
      <c r="J53" s="1181">
        <f t="shared" ca="1" si="8"/>
        <v>1286.8686609676818</v>
      </c>
      <c r="K53" s="1181">
        <f t="shared" ca="1" si="8"/>
        <v>1263.9278021258961</v>
      </c>
      <c r="L53" s="1181">
        <f t="shared" ca="1" si="8"/>
        <v>1224.7751087681788</v>
      </c>
      <c r="M53" s="1181">
        <f ca="1">M30+M31</f>
        <v>1198.8596521120835</v>
      </c>
    </row>
    <row r="54" spans="2:13">
      <c r="B54" s="1162" t="s">
        <v>1340</v>
      </c>
      <c r="C54" s="1162"/>
      <c r="D54" s="1162"/>
      <c r="E54" s="1162"/>
      <c r="F54" s="1162"/>
      <c r="G54" s="1181">
        <f t="shared" ref="G54:K55" ca="1" si="9">G41</f>
        <v>2337.5948301767776</v>
      </c>
      <c r="H54" s="1181">
        <f t="shared" ca="1" si="9"/>
        <v>564.41218587051912</v>
      </c>
      <c r="I54" s="1181">
        <f t="shared" ca="1" si="9"/>
        <v>468.31283360875562</v>
      </c>
      <c r="J54" s="1181">
        <f t="shared" ca="1" si="9"/>
        <v>410.58394574572782</v>
      </c>
      <c r="K54" s="1181">
        <f t="shared" ca="1" si="9"/>
        <v>370.94137124382803</v>
      </c>
      <c r="L54" s="1181">
        <f ca="1">L41</f>
        <v>308.8004860540774</v>
      </c>
      <c r="M54" s="1181">
        <f ca="1">M41</f>
        <v>271.3797530939828</v>
      </c>
    </row>
    <row r="55" spans="2:13">
      <c r="B55" s="1162" t="s">
        <v>1249</v>
      </c>
      <c r="C55" s="1162"/>
      <c r="D55" s="1162"/>
      <c r="E55" s="1162"/>
      <c r="F55" s="1162"/>
      <c r="G55" s="1181">
        <f t="shared" ca="1" si="9"/>
        <v>1421.9252673154676</v>
      </c>
      <c r="H55" s="1181">
        <f t="shared" ca="1" si="9"/>
        <v>409.05430672055036</v>
      </c>
      <c r="I55" s="1181">
        <f t="shared" ca="1" si="9"/>
        <v>348.76631170775681</v>
      </c>
      <c r="J55" s="1181">
        <f t="shared" ca="1" si="9"/>
        <v>311.864042054084</v>
      </c>
      <c r="K55" s="1181">
        <f t="shared" ca="1" si="9"/>
        <v>286.1607869803056</v>
      </c>
      <c r="L55" s="1181">
        <f ca="1">L42</f>
        <v>245.15277463128916</v>
      </c>
      <c r="M55" s="1181">
        <f ca="1">M42</f>
        <v>219.94805745026599</v>
      </c>
    </row>
    <row r="56" spans="2:13">
      <c r="B56" s="1162" t="s">
        <v>1070</v>
      </c>
      <c r="C56" s="1162"/>
      <c r="D56" s="1162"/>
      <c r="E56" s="1162"/>
      <c r="F56" s="1162"/>
      <c r="G56" s="1169">
        <f t="shared" ref="G56:K58" ca="1" si="10">G45</f>
        <v>1548.4891934290069</v>
      </c>
      <c r="H56" s="1169">
        <f t="shared" ca="1" si="10"/>
        <v>472.4784136131957</v>
      </c>
      <c r="I56" s="1169">
        <f t="shared" ca="1" si="10"/>
        <v>406.07125915944624</v>
      </c>
      <c r="J56" s="1169">
        <f t="shared" ca="1" si="10"/>
        <v>365.15007664469397</v>
      </c>
      <c r="K56" s="1169">
        <f t="shared" ca="1" si="10"/>
        <v>336.50583765950137</v>
      </c>
      <c r="L56" s="1169">
        <f t="shared" ref="L56:M58" ca="1" si="11">L45</f>
        <v>290.52904043341437</v>
      </c>
      <c r="M56" s="1169">
        <f t="shared" ca="1" si="11"/>
        <v>262.07714790190323</v>
      </c>
    </row>
    <row r="57" spans="2:13">
      <c r="B57" s="1162" t="s">
        <v>1071</v>
      </c>
      <c r="C57" s="1162"/>
      <c r="D57" s="1162"/>
      <c r="E57" s="1162"/>
      <c r="F57" s="1162"/>
      <c r="G57" s="1181">
        <f t="shared" ca="1" si="10"/>
        <v>973.77467048951291</v>
      </c>
      <c r="H57" s="1181">
        <f t="shared" ca="1" si="10"/>
        <v>366.57886474468535</v>
      </c>
      <c r="I57" s="1181">
        <f t="shared" ca="1" si="10"/>
        <v>322.88235652850898</v>
      </c>
      <c r="J57" s="1181">
        <f t="shared" ca="1" si="10"/>
        <v>295.26092751158569</v>
      </c>
      <c r="K57" s="1181">
        <f t="shared" ca="1" si="10"/>
        <v>275.56847696554871</v>
      </c>
      <c r="L57" s="1181">
        <f t="shared" ca="1" si="11"/>
        <v>243.26516041931643</v>
      </c>
      <c r="M57" s="1181">
        <f t="shared" ca="1" si="11"/>
        <v>222.7923124253457</v>
      </c>
    </row>
    <row r="58" spans="2:13">
      <c r="B58" s="1162" t="s">
        <v>1063</v>
      </c>
      <c r="C58" s="1162"/>
      <c r="D58" s="1162"/>
      <c r="E58" s="1162"/>
      <c r="F58" s="1162"/>
      <c r="G58" s="1181">
        <f t="shared" ca="1" si="10"/>
        <v>2434.4366762237823</v>
      </c>
      <c r="H58" s="1181">
        <f t="shared" ca="1" si="10"/>
        <v>916.44716186171343</v>
      </c>
      <c r="I58" s="1181">
        <f t="shared" ca="1" si="10"/>
        <v>807.20589132127247</v>
      </c>
      <c r="J58" s="1181">
        <f t="shared" ca="1" si="10"/>
        <v>738.15231877896417</v>
      </c>
      <c r="K58" s="1181">
        <f t="shared" ca="1" si="10"/>
        <v>688.92119241387172</v>
      </c>
      <c r="L58" s="1181">
        <f t="shared" ca="1" si="11"/>
        <v>608.16290104829102</v>
      </c>
      <c r="M58" s="1181">
        <f t="shared" ca="1" si="11"/>
        <v>556.98078106336425</v>
      </c>
    </row>
    <row r="59" spans="2:13">
      <c r="B59" s="1162" t="s">
        <v>1250</v>
      </c>
      <c r="C59" s="1162"/>
      <c r="D59" s="1162"/>
      <c r="E59" s="1162"/>
      <c r="F59" s="1162"/>
      <c r="G59" s="1182">
        <f t="shared" ref="G59:L59" ca="1" si="12">G49</f>
        <v>1100.2075814519515</v>
      </c>
      <c r="H59" s="1182">
        <f t="shared" ca="1" si="12"/>
        <v>473.6795901668977</v>
      </c>
      <c r="I59" s="1182">
        <f t="shared" ca="1" si="12"/>
        <v>429.76131842579491</v>
      </c>
      <c r="J59" s="1182">
        <f t="shared" ca="1" si="12"/>
        <v>402.10724715922009</v>
      </c>
      <c r="K59" s="1182">
        <f t="shared" ca="1" si="12"/>
        <v>382.44429771196627</v>
      </c>
      <c r="L59" s="1182">
        <f t="shared" ca="1" si="12"/>
        <v>350.28713907057579</v>
      </c>
      <c r="M59" s="1182">
        <f ca="1">M49</f>
        <v>329.97096616765816</v>
      </c>
    </row>
    <row r="60" spans="2:13">
      <c r="B60" s="1162" t="s">
        <v>1251</v>
      </c>
      <c r="C60" s="1162"/>
      <c r="D60" s="1162"/>
      <c r="E60" s="1162"/>
      <c r="F60" s="1162"/>
      <c r="G60" s="1183">
        <f ca="1">'Cost Input'!$K52/100*SUM(G52:G59)</f>
        <v>1332.4335253882819</v>
      </c>
      <c r="H60" s="1183">
        <f ca="1">'Cost Input'!$K52/100*SUM(H52:H59)</f>
        <v>899.48717040651411</v>
      </c>
      <c r="I60" s="1183">
        <f ca="1">'Cost Input'!$K52/100*SUM(I52:I59)</f>
        <v>869.39066434424296</v>
      </c>
      <c r="J60" s="1183">
        <f ca="1">'Cost Input'!$K52/100*SUM(J52:J59)</f>
        <v>850.37854306455483</v>
      </c>
      <c r="K60" s="1183">
        <f ca="1">'Cost Input'!$K52/100*SUM(K52:K59)</f>
        <v>836.81632054461511</v>
      </c>
      <c r="L60" s="1183">
        <f ca="1">'Cost Input'!$K52/100*SUM(L52:L59)</f>
        <v>814.52487787357131</v>
      </c>
      <c r="M60" s="1183">
        <f ca="1">'Cost Input'!$K52/100*SUM(M52:M59)</f>
        <v>800.34505495125734</v>
      </c>
    </row>
    <row r="61" spans="2:13">
      <c r="B61" s="1162" t="s">
        <v>605</v>
      </c>
      <c r="C61" s="1162"/>
      <c r="D61" s="1162"/>
      <c r="E61" s="1162"/>
      <c r="F61" s="1162"/>
      <c r="G61" s="1181">
        <f t="shared" ref="G61:L61" ca="1" si="13">SUM(G52:G60)</f>
        <v>25125.889335893316</v>
      </c>
      <c r="H61" s="1181">
        <f t="shared" ca="1" si="13"/>
        <v>16961.758070522839</v>
      </c>
      <c r="I61" s="1181">
        <f t="shared" ca="1" si="13"/>
        <v>16394.223956205726</v>
      </c>
      <c r="J61" s="1181">
        <f t="shared" ca="1" si="13"/>
        <v>16035.709669217322</v>
      </c>
      <c r="K61" s="1181">
        <f t="shared" ca="1" si="13"/>
        <v>15779.964901698457</v>
      </c>
      <c r="L61" s="1181">
        <f t="shared" ca="1" si="13"/>
        <v>15359.611982758775</v>
      </c>
      <c r="M61" s="1181">
        <f ca="1">SUM(M52:M60)</f>
        <v>15092.221036223713</v>
      </c>
    </row>
    <row r="63" spans="2:13" ht="16.5" customHeight="1">
      <c r="B63" s="1317" t="s">
        <v>589</v>
      </c>
      <c r="C63" s="1317"/>
      <c r="D63" s="1317"/>
      <c r="E63" s="1317"/>
      <c r="F63" s="1317"/>
      <c r="G63" s="1317"/>
      <c r="H63" s="1317"/>
      <c r="I63" s="1317"/>
      <c r="J63" s="1317"/>
      <c r="K63" s="1317"/>
      <c r="L63" s="1317"/>
      <c r="M63" s="1317"/>
    </row>
    <row r="64" spans="2:13" ht="16">
      <c r="B64" s="1184" t="s">
        <v>24</v>
      </c>
      <c r="C64" s="1185"/>
      <c r="D64" s="1185"/>
      <c r="E64" s="1185"/>
      <c r="F64" s="1185"/>
      <c r="G64" s="1186"/>
      <c r="H64" s="1186"/>
      <c r="I64" s="1186"/>
      <c r="J64" s="1186"/>
      <c r="K64" s="1187"/>
      <c r="L64" s="1187"/>
      <c r="M64" s="1187"/>
    </row>
    <row r="65" spans="2:13">
      <c r="B65" s="1185" t="s">
        <v>488</v>
      </c>
      <c r="C65" s="1185"/>
      <c r="D65" s="1185"/>
      <c r="E65" s="1185"/>
      <c r="F65" s="1185"/>
      <c r="G65" s="1188">
        <f t="shared" ref="G65:M72" ca="1" si="14">G7</f>
        <v>99.999999999999957</v>
      </c>
      <c r="H65" s="1188">
        <f t="shared" ca="1" si="14"/>
        <v>99.999999999999957</v>
      </c>
      <c r="I65" s="1188">
        <f t="shared" ca="1" si="14"/>
        <v>99.999999999999957</v>
      </c>
      <c r="J65" s="1188">
        <f t="shared" ca="1" si="14"/>
        <v>99.999999999999957</v>
      </c>
      <c r="K65" s="1188">
        <f t="shared" ca="1" si="14"/>
        <v>99.999999999999957</v>
      </c>
      <c r="L65" s="1188">
        <f t="shared" ca="1" si="14"/>
        <v>99.999999999999957</v>
      </c>
      <c r="M65" s="1188">
        <f t="shared" ca="1" si="14"/>
        <v>99.999999999999957</v>
      </c>
    </row>
    <row r="66" spans="2:13">
      <c r="B66" s="1185" t="s">
        <v>210</v>
      </c>
      <c r="C66" s="1185"/>
      <c r="D66" s="1185"/>
      <c r="E66" s="1185"/>
      <c r="F66" s="1185"/>
      <c r="G66" s="1188">
        <f t="shared" ca="1" si="14"/>
        <v>406.23900856291681</v>
      </c>
      <c r="H66" s="1188">
        <f t="shared" ca="1" si="14"/>
        <v>406.23900856291681</v>
      </c>
      <c r="I66" s="1188">
        <f t="shared" ca="1" si="14"/>
        <v>406.23900856291681</v>
      </c>
      <c r="J66" s="1188">
        <f t="shared" ca="1" si="14"/>
        <v>406.23900856291681</v>
      </c>
      <c r="K66" s="1188">
        <f t="shared" ca="1" si="14"/>
        <v>406.23900856291681</v>
      </c>
      <c r="L66" s="1188">
        <f t="shared" ca="1" si="14"/>
        <v>406.23900856291681</v>
      </c>
      <c r="M66" s="1188">
        <f t="shared" ca="1" si="14"/>
        <v>406.23900856291681</v>
      </c>
    </row>
    <row r="67" spans="2:13">
      <c r="B67" s="1185" t="s">
        <v>209</v>
      </c>
      <c r="C67" s="1185"/>
      <c r="D67" s="1185"/>
      <c r="E67" s="1185"/>
      <c r="F67" s="1185"/>
      <c r="G67" s="1188">
        <f t="shared" si="14"/>
        <v>200</v>
      </c>
      <c r="H67" s="1188">
        <f t="shared" si="14"/>
        <v>200</v>
      </c>
      <c r="I67" s="1188">
        <f t="shared" si="14"/>
        <v>200</v>
      </c>
      <c r="J67" s="1188">
        <f t="shared" si="14"/>
        <v>200</v>
      </c>
      <c r="K67" s="1188">
        <f t="shared" si="14"/>
        <v>200</v>
      </c>
      <c r="L67" s="1188">
        <f t="shared" si="14"/>
        <v>200</v>
      </c>
      <c r="M67" s="1188">
        <f t="shared" si="14"/>
        <v>200</v>
      </c>
    </row>
    <row r="68" spans="2:13">
      <c r="B68" s="1185" t="s">
        <v>222</v>
      </c>
      <c r="C68" s="1185"/>
      <c r="D68" s="1185"/>
      <c r="E68" s="1185"/>
      <c r="F68" s="1185"/>
      <c r="G68" s="1188">
        <f t="shared" si="14"/>
        <v>20</v>
      </c>
      <c r="H68" s="1188">
        <f t="shared" si="14"/>
        <v>20</v>
      </c>
      <c r="I68" s="1188">
        <f t="shared" si="14"/>
        <v>20</v>
      </c>
      <c r="J68" s="1188">
        <f t="shared" si="14"/>
        <v>20</v>
      </c>
      <c r="K68" s="1188">
        <f t="shared" si="14"/>
        <v>20</v>
      </c>
      <c r="L68" s="1188">
        <f t="shared" si="14"/>
        <v>20</v>
      </c>
      <c r="M68" s="1188">
        <f t="shared" si="14"/>
        <v>20</v>
      </c>
    </row>
    <row r="69" spans="2:13">
      <c r="B69" s="1185" t="s">
        <v>268</v>
      </c>
      <c r="C69" s="1185"/>
      <c r="D69" s="1185"/>
      <c r="E69" s="1185"/>
      <c r="F69" s="1185"/>
      <c r="G69" s="1188">
        <f t="shared" si="14"/>
        <v>4</v>
      </c>
      <c r="H69" s="1188">
        <f t="shared" si="14"/>
        <v>4</v>
      </c>
      <c r="I69" s="1188">
        <f t="shared" si="14"/>
        <v>4</v>
      </c>
      <c r="J69" s="1188">
        <f t="shared" si="14"/>
        <v>4</v>
      </c>
      <c r="K69" s="1188">
        <f t="shared" si="14"/>
        <v>4</v>
      </c>
      <c r="L69" s="1188">
        <f t="shared" si="14"/>
        <v>4</v>
      </c>
      <c r="M69" s="1188">
        <f t="shared" si="14"/>
        <v>4</v>
      </c>
    </row>
    <row r="70" spans="2:13">
      <c r="B70" s="1185" t="s">
        <v>489</v>
      </c>
      <c r="C70" s="1185"/>
      <c r="D70" s="1185"/>
      <c r="E70" s="1185"/>
      <c r="F70" s="1185"/>
      <c r="G70" s="1188">
        <f t="shared" si="14"/>
        <v>20</v>
      </c>
      <c r="H70" s="1188">
        <f t="shared" si="14"/>
        <v>20</v>
      </c>
      <c r="I70" s="1188">
        <f t="shared" si="14"/>
        <v>20</v>
      </c>
      <c r="J70" s="1188">
        <f t="shared" si="14"/>
        <v>20</v>
      </c>
      <c r="K70" s="1188">
        <f t="shared" si="14"/>
        <v>20</v>
      </c>
      <c r="L70" s="1188">
        <f t="shared" si="14"/>
        <v>20</v>
      </c>
      <c r="M70" s="1188">
        <f t="shared" si="14"/>
        <v>20</v>
      </c>
    </row>
    <row r="71" spans="2:13">
      <c r="B71" s="1185" t="s">
        <v>490</v>
      </c>
      <c r="C71" s="1185"/>
      <c r="D71" s="1185"/>
      <c r="E71" s="1185"/>
      <c r="F71" s="1185"/>
      <c r="G71" s="1188">
        <f t="shared" si="14"/>
        <v>1</v>
      </c>
      <c r="H71" s="1188">
        <f t="shared" si="14"/>
        <v>1</v>
      </c>
      <c r="I71" s="1188">
        <f t="shared" si="14"/>
        <v>1</v>
      </c>
      <c r="J71" s="1188">
        <f t="shared" si="14"/>
        <v>1</v>
      </c>
      <c r="K71" s="1188">
        <f t="shared" si="14"/>
        <v>1</v>
      </c>
      <c r="L71" s="1188">
        <f t="shared" si="14"/>
        <v>1</v>
      </c>
      <c r="M71" s="1188">
        <f t="shared" si="14"/>
        <v>1</v>
      </c>
    </row>
    <row r="72" spans="2:13">
      <c r="B72" s="1185" t="s">
        <v>156</v>
      </c>
      <c r="C72" s="1185"/>
      <c r="D72" s="1185"/>
      <c r="E72" s="1186"/>
      <c r="F72" s="1185"/>
      <c r="G72" s="1188">
        <f t="shared" ca="1" si="14"/>
        <v>339.99999999999983</v>
      </c>
      <c r="H72" s="1188">
        <f t="shared" ca="1" si="14"/>
        <v>339.99999999999983</v>
      </c>
      <c r="I72" s="1188">
        <f t="shared" ca="1" si="14"/>
        <v>339.99999999999983</v>
      </c>
      <c r="J72" s="1188">
        <f t="shared" ca="1" si="14"/>
        <v>339.99999999999983</v>
      </c>
      <c r="K72" s="1188">
        <f t="shared" ca="1" si="14"/>
        <v>339.99999999999983</v>
      </c>
      <c r="L72" s="1188">
        <f t="shared" ca="1" si="14"/>
        <v>339.99999999999983</v>
      </c>
      <c r="M72" s="1188">
        <f t="shared" ca="1" si="14"/>
        <v>339.99999999999983</v>
      </c>
    </row>
    <row r="73" spans="2:13" ht="16">
      <c r="B73" s="1184" t="s">
        <v>68</v>
      </c>
      <c r="C73" s="1189"/>
      <c r="D73" s="1189"/>
      <c r="E73" s="1190"/>
      <c r="F73" s="1191"/>
      <c r="G73" s="1190"/>
      <c r="H73" s="1190"/>
      <c r="I73" s="1190"/>
      <c r="J73" s="1190"/>
      <c r="K73" s="1190"/>
      <c r="L73" s="1190"/>
      <c r="M73" s="1190"/>
    </row>
    <row r="74" spans="2:13">
      <c r="B74" s="1185" t="s">
        <v>135</v>
      </c>
      <c r="C74" s="1185"/>
      <c r="D74" s="1185"/>
      <c r="E74" s="1190"/>
      <c r="F74" s="1191"/>
      <c r="G74" s="1190">
        <f ca="1">'Manufacturing Cost Calculations'!G274</f>
        <v>12.126304742919006</v>
      </c>
      <c r="H74" s="1190">
        <f ca="1">'Manufacturing Cost Calculations'!H274</f>
        <v>92.618666534463898</v>
      </c>
      <c r="I74" s="1190">
        <f ca="1">'Manufacturing Cost Calculations'!I274</f>
        <v>122.59906068789026</v>
      </c>
      <c r="J74" s="1190">
        <f ca="1">'Manufacturing Cost Calculations'!J274</f>
        <v>149.67859174639307</v>
      </c>
      <c r="K74" s="1190">
        <f ca="1">'Manufacturing Cost Calculations'!K274</f>
        <v>174.79566906919268</v>
      </c>
      <c r="L74" s="1190">
        <f ca="1">'Manufacturing Cost Calculations'!L274</f>
        <v>231.87372137789532</v>
      </c>
      <c r="M74" s="1190">
        <f ca="1">'Manufacturing Cost Calculations'!M274</f>
        <v>283.49822133420599</v>
      </c>
    </row>
    <row r="75" spans="2:13">
      <c r="B75" s="1192" t="s">
        <v>143</v>
      </c>
      <c r="C75" s="1185"/>
      <c r="D75" s="1185"/>
      <c r="E75" s="1190"/>
      <c r="F75" s="1191"/>
      <c r="G75" s="1190"/>
      <c r="H75" s="1190"/>
      <c r="I75" s="1190"/>
      <c r="J75" s="1190"/>
      <c r="K75" s="1190"/>
      <c r="L75" s="1190"/>
      <c r="M75" s="1190"/>
    </row>
    <row r="76" spans="2:13" ht="15">
      <c r="B76" s="1185" t="s">
        <v>1382</v>
      </c>
      <c r="C76" s="1185"/>
      <c r="D76" s="1185"/>
      <c r="E76" s="1190"/>
      <c r="F76" s="1191"/>
      <c r="G76" s="1190">
        <f ca="1">'Manufacturing Cost Calculations'!G275</f>
        <v>1641.056264817106</v>
      </c>
      <c r="H76" s="1190">
        <f ca="1">'Manufacturing Cost Calculations'!H275</f>
        <v>10423.243996672882</v>
      </c>
      <c r="I76" s="1190">
        <f ca="1">'Manufacturing Cost Calculations'!I275</f>
        <v>13484.789113189041</v>
      </c>
      <c r="J76" s="1190">
        <f ca="1">'Manufacturing Cost Calculations'!J275</f>
        <v>16205.356211169903</v>
      </c>
      <c r="K76" s="1190">
        <f ca="1">'Manufacturing Cost Calculations'!K275</f>
        <v>18699.630449668373</v>
      </c>
      <c r="L76" s="1190">
        <f ca="1">'Manufacturing Cost Calculations'!L275</f>
        <v>24288.76839424705</v>
      </c>
      <c r="M76" s="1190">
        <f ca="1">'Manufacturing Cost Calculations'!M275</f>
        <v>29272.341961194037</v>
      </c>
    </row>
    <row r="77" spans="2:13" ht="15">
      <c r="B77" s="1185" t="s">
        <v>1383</v>
      </c>
      <c r="C77" s="1185"/>
      <c r="D77" s="1185"/>
      <c r="E77" s="1190"/>
      <c r="F77" s="1191"/>
      <c r="G77" s="1190">
        <f>'Cost Input'!$K32</f>
        <v>3000</v>
      </c>
      <c r="H77" s="1190">
        <f>'Cost Input'!$K32</f>
        <v>3000</v>
      </c>
      <c r="I77" s="1190">
        <f>'Cost Input'!$K32</f>
        <v>3000</v>
      </c>
      <c r="J77" s="1190">
        <f>'Cost Input'!$K32</f>
        <v>3000</v>
      </c>
      <c r="K77" s="1190">
        <f>'Cost Input'!$K32</f>
        <v>3000</v>
      </c>
      <c r="L77" s="1190">
        <f>'Cost Input'!$K32</f>
        <v>3000</v>
      </c>
      <c r="M77" s="1190">
        <f>'Cost Input'!$K32</f>
        <v>3000</v>
      </c>
    </row>
    <row r="78" spans="2:13">
      <c r="B78" s="1185" t="s">
        <v>1252</v>
      </c>
      <c r="C78" s="1185"/>
      <c r="D78" s="1185"/>
      <c r="E78" s="1190"/>
      <c r="F78" s="1191"/>
      <c r="G78" s="1190">
        <f t="shared" ref="G78:M78" ca="1" si="15">G76*G77/1000000</f>
        <v>4.9231687944513176</v>
      </c>
      <c r="H78" s="1190">
        <f t="shared" ca="1" si="15"/>
        <v>31.269731990018645</v>
      </c>
      <c r="I78" s="1190">
        <f t="shared" ca="1" si="15"/>
        <v>40.454367339567128</v>
      </c>
      <c r="J78" s="1190">
        <f t="shared" ca="1" si="15"/>
        <v>48.616068633509713</v>
      </c>
      <c r="K78" s="1190">
        <f t="shared" ca="1" si="15"/>
        <v>56.098891349005115</v>
      </c>
      <c r="L78" s="1190">
        <f t="shared" ca="1" si="15"/>
        <v>72.866305182741144</v>
      </c>
      <c r="M78" s="1190">
        <f t="shared" ca="1" si="15"/>
        <v>87.817025883582119</v>
      </c>
    </row>
    <row r="79" spans="2:13">
      <c r="B79" s="1192" t="s">
        <v>113</v>
      </c>
      <c r="C79" s="1185"/>
      <c r="D79" s="1185"/>
      <c r="E79" s="1190"/>
      <c r="F79" s="1191"/>
      <c r="G79" s="1190"/>
      <c r="H79" s="1190"/>
      <c r="I79" s="1190"/>
      <c r="J79" s="1190"/>
      <c r="K79" s="1190"/>
      <c r="L79" s="1190"/>
      <c r="M79" s="1190"/>
    </row>
    <row r="80" spans="2:13">
      <c r="B80" s="1185" t="s">
        <v>1254</v>
      </c>
      <c r="C80" s="1185"/>
      <c r="D80" s="1185"/>
      <c r="E80" s="1190"/>
      <c r="F80" s="1191"/>
      <c r="G80" s="1190"/>
      <c r="H80" s="1190"/>
      <c r="I80" s="1190"/>
      <c r="J80" s="1190"/>
      <c r="K80" s="1190"/>
      <c r="L80" s="1190"/>
      <c r="M80" s="1190"/>
    </row>
    <row r="81" spans="2:13">
      <c r="B81" s="1185" t="s">
        <v>1253</v>
      </c>
      <c r="C81" s="1185"/>
      <c r="D81" s="1185"/>
      <c r="E81" s="1190"/>
      <c r="F81" s="1191"/>
      <c r="G81" s="1190">
        <f ca="1">('Cost Input'!$K34/100*G89+'Cost Input'!$K35/100*(G97+G98))*'Manufacturing Cost Calculations'!G5/1000000</f>
        <v>0.96249242040640004</v>
      </c>
      <c r="H81" s="1190">
        <f ca="1">('Cost Input'!$K34/100*H89+'Cost Input'!$K35/100*(H97+H98))*'Manufacturing Cost Calculations'!H5/1000000</f>
        <v>13.635341899919943</v>
      </c>
      <c r="I81" s="1190">
        <f ca="1">('Cost Input'!$K34/100*I89+'Cost Input'!$K35/100*(I97+I98))*'Manufacturing Cost Calculations'!I5/1000000</f>
        <v>19.899649378043883</v>
      </c>
      <c r="J81" s="1190">
        <f ca="1">('Cost Input'!$K34/100*J89+'Cost Input'!$K35/100*(J97+J98))*'Manufacturing Cost Calculations'!J5/1000000</f>
        <v>26.070005997279473</v>
      </c>
      <c r="K81" s="1190">
        <f ca="1">('Cost Input'!$K34/100*K89+'Cost Input'!$K35/100*(K97+K98))*'Manufacturing Cost Calculations'!K5/1000000</f>
        <v>32.17661783472596</v>
      </c>
      <c r="L81" s="1190">
        <f ca="1">('Cost Input'!$K34/100*L89+'Cost Input'!$K35/100*(L97+L98))*'Manufacturing Cost Calculations'!L5/1000000</f>
        <v>47.256540205912486</v>
      </c>
      <c r="M81" s="1190">
        <f ca="1">('Cost Input'!$K34/100*M89+'Cost Input'!$K35/100*(M97+M98))*'Manufacturing Cost Calculations'!M5/1000000</f>
        <v>62.157058487605298</v>
      </c>
    </row>
    <row r="82" spans="2:13">
      <c r="B82" s="1185" t="s">
        <v>136</v>
      </c>
      <c r="C82" s="1185"/>
      <c r="D82" s="1185"/>
      <c r="E82" s="1190"/>
      <c r="F82" s="1191"/>
      <c r="G82" s="1190">
        <f ca="1">G99*'Manufacturing Cost Calculations'!G5/1000000*'Cost Input'!$K$36/100</f>
        <v>2.4196586380888272</v>
      </c>
      <c r="H82" s="1190">
        <f ca="1">H99*'Manufacturing Cost Calculations'!H5/1000000*'Cost Input'!$K$36/100</f>
        <v>38.432874937537797</v>
      </c>
      <c r="I82" s="1190">
        <f ca="1">I99*'Manufacturing Cost Calculations'!I5/1000000*'Cost Input'!$K$36/100</f>
        <v>56.573834971713453</v>
      </c>
      <c r="J82" s="1190">
        <f ca="1">J99*'Manufacturing Cost Calculations'!J5/1000000*'Cost Input'!$K$36/100</f>
        <v>74.515915772194418</v>
      </c>
      <c r="K82" s="1190">
        <f ca="1">K99*'Manufacturing Cost Calculations'!K5/1000000*'Cost Input'!$K$36/100</f>
        <v>92.320964150032353</v>
      </c>
      <c r="L82" s="1190">
        <f ca="1">L99*'Manufacturing Cost Calculations'!L5/1000000*'Cost Input'!$K$36/100</f>
        <v>136.42622967854055</v>
      </c>
      <c r="M82" s="1190">
        <f ca="1">M99*'Manufacturing Cost Calculations'!M5/1000000*'Cost Input'!$K$36/100</f>
        <v>180.13390968347602</v>
      </c>
    </row>
    <row r="83" spans="2:13">
      <c r="B83" s="1185" t="s">
        <v>146</v>
      </c>
      <c r="C83" s="1185"/>
      <c r="D83" s="1185"/>
      <c r="E83" s="1190"/>
      <c r="F83" s="1191"/>
      <c r="G83" s="1190">
        <f t="shared" ref="G83:M83" ca="1" si="16">G74+G78+G81+G82</f>
        <v>20.43162459586555</v>
      </c>
      <c r="H83" s="1190">
        <f t="shared" ca="1" si="16"/>
        <v>175.95661536194029</v>
      </c>
      <c r="I83" s="1190">
        <f t="shared" ca="1" si="16"/>
        <v>239.52691237721473</v>
      </c>
      <c r="J83" s="1190">
        <f t="shared" ca="1" si="16"/>
        <v>298.88058214937666</v>
      </c>
      <c r="K83" s="1190">
        <f t="shared" ca="1" si="16"/>
        <v>355.3921424029561</v>
      </c>
      <c r="L83" s="1190">
        <f t="shared" ca="1" si="16"/>
        <v>488.42279644508949</v>
      </c>
      <c r="M83" s="1190">
        <f t="shared" ca="1" si="16"/>
        <v>613.60621538886949</v>
      </c>
    </row>
    <row r="84" spans="2:13" ht="16">
      <c r="B84" s="1184" t="s">
        <v>603</v>
      </c>
      <c r="C84" s="1189"/>
      <c r="D84" s="1189"/>
      <c r="E84" s="1190"/>
      <c r="F84" s="1191"/>
      <c r="G84" s="1190"/>
      <c r="H84" s="1190"/>
      <c r="I84" s="1190"/>
      <c r="J84" s="1190"/>
      <c r="K84" s="1190"/>
      <c r="L84" s="1190"/>
      <c r="M84" s="1190"/>
    </row>
    <row r="85" spans="2:13" ht="14">
      <c r="B85" s="1193" t="s">
        <v>73</v>
      </c>
      <c r="C85" s="1194"/>
      <c r="D85" s="1194"/>
      <c r="E85" s="1190"/>
      <c r="F85" s="1191"/>
      <c r="G85" s="1190"/>
      <c r="H85" s="1190"/>
      <c r="I85" s="1190"/>
      <c r="J85" s="1190"/>
      <c r="K85" s="1190"/>
      <c r="L85" s="1190"/>
      <c r="M85" s="1190"/>
    </row>
    <row r="86" spans="2:13">
      <c r="B86" s="1192" t="s">
        <v>1255</v>
      </c>
      <c r="C86" s="1185"/>
      <c r="D86" s="1185"/>
      <c r="E86" s="1190"/>
      <c r="F86" s="1191"/>
      <c r="G86" s="1190"/>
      <c r="H86" s="1190"/>
      <c r="I86" s="1190"/>
      <c r="J86" s="1190"/>
      <c r="K86" s="1190"/>
      <c r="L86" s="1190"/>
      <c r="M86" s="1190"/>
    </row>
    <row r="87" spans="2:13">
      <c r="B87" s="1185" t="s">
        <v>1256</v>
      </c>
      <c r="C87" s="1185"/>
      <c r="D87" s="1185"/>
      <c r="E87" s="1190"/>
      <c r="F87" s="1191"/>
      <c r="G87" s="1190">
        <f ca="1">'Summary of Results'!G65</f>
        <v>12116.589315042083</v>
      </c>
      <c r="H87" s="1190">
        <f ca="1">'Summary of Results'!H65</f>
        <v>11494.596771315521</v>
      </c>
      <c r="I87" s="1190">
        <f ca="1">'Summary of Results'!I65</f>
        <v>11423.836971934843</v>
      </c>
      <c r="J87" s="1190">
        <f ca="1">'Summary of Results'!J65</f>
        <v>11375.34390729081</v>
      </c>
      <c r="K87" s="1190">
        <f ca="1">'Summary of Results'!K65</f>
        <v>11338.678816052925</v>
      </c>
      <c r="L87" s="1190">
        <f ca="1">'Summary of Results'!L65</f>
        <v>11274.114494460064</v>
      </c>
      <c r="M87" s="1190">
        <f ca="1">'Summary of Results'!M65</f>
        <v>11229.867311057849</v>
      </c>
    </row>
    <row r="88" spans="2:13">
      <c r="B88" s="1185" t="s">
        <v>1257</v>
      </c>
      <c r="C88" s="1185"/>
      <c r="D88" s="1185"/>
      <c r="E88" s="1190"/>
      <c r="F88" s="1191"/>
      <c r="G88" s="1190">
        <f ca="1">'Summary of Results'!G66</f>
        <v>895.67745134761049</v>
      </c>
      <c r="H88" s="1190">
        <f ca="1">'Summary of Results'!H66</f>
        <v>491.97795378973501</v>
      </c>
      <c r="I88" s="1190">
        <f ca="1">'Summary of Results'!I66</f>
        <v>453.65676346410658</v>
      </c>
      <c r="J88" s="1190">
        <f ca="1">'Summary of Results'!J66</f>
        <v>428.29168480092835</v>
      </c>
      <c r="K88" s="1190">
        <f ca="1">'Summary of Results'!K66</f>
        <v>409.59782339865438</v>
      </c>
      <c r="L88" s="1190">
        <f ca="1">'Summary of Results'!L66</f>
        <v>377.6933934815948</v>
      </c>
      <c r="M88" s="1190">
        <f ca="1">'Summary of Results'!M66</f>
        <v>356.57561588456497</v>
      </c>
    </row>
    <row r="89" spans="2:13">
      <c r="B89" s="1185" t="s">
        <v>86</v>
      </c>
      <c r="C89" s="1185"/>
      <c r="D89" s="1185"/>
      <c r="E89" s="1190"/>
      <c r="F89" s="1191"/>
      <c r="G89" s="1190">
        <f t="shared" ref="G89:M89" ca="1" si="17">SUM(G87:G88)</f>
        <v>13012.266766389694</v>
      </c>
      <c r="H89" s="1190">
        <f t="shared" ca="1" si="17"/>
        <v>11986.574725105256</v>
      </c>
      <c r="I89" s="1190">
        <f t="shared" ca="1" si="17"/>
        <v>11877.49373539895</v>
      </c>
      <c r="J89" s="1190">
        <f t="shared" ca="1" si="17"/>
        <v>11803.635592091738</v>
      </c>
      <c r="K89" s="1190">
        <f t="shared" ca="1" si="17"/>
        <v>11748.27663945158</v>
      </c>
      <c r="L89" s="1190">
        <f t="shared" ca="1" si="17"/>
        <v>11651.807887941659</v>
      </c>
      <c r="M89" s="1190">
        <f t="shared" ca="1" si="17"/>
        <v>11586.442926942414</v>
      </c>
    </row>
    <row r="90" spans="2:13">
      <c r="B90" s="1185" t="s">
        <v>1189</v>
      </c>
      <c r="C90" s="1185"/>
      <c r="D90" s="1185"/>
      <c r="E90" s="1195"/>
      <c r="F90" s="1191"/>
      <c r="G90" s="1190"/>
      <c r="H90" s="1190"/>
      <c r="I90" s="1190"/>
      <c r="J90" s="1190"/>
      <c r="K90" s="1190"/>
      <c r="L90" s="1190"/>
      <c r="M90" s="1190"/>
    </row>
    <row r="91" spans="2:13">
      <c r="B91" s="1185" t="s">
        <v>117</v>
      </c>
      <c r="C91" s="1185"/>
      <c r="D91" s="1185"/>
      <c r="E91" s="1190"/>
      <c r="F91" s="1191"/>
      <c r="G91" s="1190">
        <f t="shared" ref="G91:M93" ca="1" si="18">G34</f>
        <v>520.88129858119453</v>
      </c>
      <c r="H91" s="1190">
        <f t="shared" ca="1" si="18"/>
        <v>124.72689889667883</v>
      </c>
      <c r="I91" s="1190">
        <f t="shared" ca="1" si="18"/>
        <v>103.28888720232111</v>
      </c>
      <c r="J91" s="1190">
        <f t="shared" ca="1" si="18"/>
        <v>90.424179059065906</v>
      </c>
      <c r="K91" s="1190">
        <f t="shared" ca="1" si="18"/>
        <v>81.59771255085893</v>
      </c>
      <c r="L91" s="1190">
        <f t="shared" ca="1" si="18"/>
        <v>67.7782555255896</v>
      </c>
      <c r="M91" s="1190">
        <f t="shared" ca="1" si="18"/>
        <v>59.468373786758697</v>
      </c>
    </row>
    <row r="92" spans="2:13">
      <c r="B92" s="1185" t="s">
        <v>118</v>
      </c>
      <c r="C92" s="1185"/>
      <c r="D92" s="1185"/>
      <c r="E92" s="1190"/>
      <c r="F92" s="1191"/>
      <c r="G92" s="1190">
        <f t="shared" ca="1" si="18"/>
        <v>565.45453839108723</v>
      </c>
      <c r="H92" s="1190">
        <f t="shared" ca="1" si="18"/>
        <v>157.53809871289906</v>
      </c>
      <c r="I92" s="1190">
        <f t="shared" ca="1" si="18"/>
        <v>133.91923437583566</v>
      </c>
      <c r="J92" s="1190">
        <f t="shared" ca="1" si="18"/>
        <v>119.50395310220617</v>
      </c>
      <c r="K92" s="1190">
        <f t="shared" ca="1" si="18"/>
        <v>109.48257584690421</v>
      </c>
      <c r="L92" s="1190">
        <f t="shared" ca="1" si="18"/>
        <v>93.52747708401246</v>
      </c>
      <c r="M92" s="1190">
        <f t="shared" ca="1" si="18"/>
        <v>83.741964520761357</v>
      </c>
    </row>
    <row r="93" spans="2:13">
      <c r="B93" s="1185" t="s">
        <v>263</v>
      </c>
      <c r="C93" s="1185"/>
      <c r="D93" s="1185"/>
      <c r="E93" s="1190"/>
      <c r="F93" s="1191"/>
      <c r="G93" s="1190">
        <f t="shared" si="18"/>
        <v>268.88932491527538</v>
      </c>
      <c r="H93" s="1190">
        <f t="shared" si="18"/>
        <v>66.728222516077224</v>
      </c>
      <c r="I93" s="1190">
        <f t="shared" si="18"/>
        <v>55.459477030429717</v>
      </c>
      <c r="J93" s="1190">
        <f t="shared" si="18"/>
        <v>48.662245139358255</v>
      </c>
      <c r="K93" s="1190">
        <f t="shared" si="18"/>
        <v>43.981234243997534</v>
      </c>
      <c r="L93" s="1190">
        <f t="shared" si="18"/>
        <v>36.619872166908998</v>
      </c>
      <c r="M93" s="1190">
        <f t="shared" si="18"/>
        <v>32.171893240323534</v>
      </c>
    </row>
    <row r="94" spans="2:13">
      <c r="B94" s="1185" t="s">
        <v>119</v>
      </c>
      <c r="C94" s="1185"/>
      <c r="D94" s="1185"/>
      <c r="E94" s="1190"/>
      <c r="F94" s="1191"/>
      <c r="G94" s="1190">
        <f t="shared" ref="G94:M96" si="19">G38</f>
        <v>13.661719529672375</v>
      </c>
      <c r="H94" s="1190">
        <f t="shared" si="19"/>
        <v>5.5615566650424331</v>
      </c>
      <c r="I94" s="1190">
        <f t="shared" si="19"/>
        <v>4.9245776390163165</v>
      </c>
      <c r="J94" s="1190">
        <f t="shared" si="19"/>
        <v>4.5173877286517099</v>
      </c>
      <c r="K94" s="1190">
        <f t="shared" si="19"/>
        <v>4.2248798614344691</v>
      </c>
      <c r="L94" s="1190">
        <f t="shared" si="19"/>
        <v>3.7409937803792546</v>
      </c>
      <c r="M94" s="1190">
        <f t="shared" si="19"/>
        <v>3.4316687917673483</v>
      </c>
    </row>
    <row r="95" spans="2:13">
      <c r="B95" s="1185" t="s">
        <v>120</v>
      </c>
      <c r="C95" s="1185"/>
      <c r="D95" s="1185"/>
      <c r="E95" s="1190"/>
      <c r="F95" s="1191"/>
      <c r="G95" s="1190">
        <f t="shared" ca="1" si="19"/>
        <v>349.0306142700573</v>
      </c>
      <c r="H95" s="1190">
        <f t="shared" ca="1" si="19"/>
        <v>71.293344676383938</v>
      </c>
      <c r="I95" s="1190">
        <f t="shared" ca="1" si="19"/>
        <v>57.583572536296828</v>
      </c>
      <c r="J95" s="1190">
        <f t="shared" ca="1" si="19"/>
        <v>49.496591148005571</v>
      </c>
      <c r="K95" s="1190">
        <f t="shared" ca="1" si="19"/>
        <v>44.019359667608235</v>
      </c>
      <c r="L95" s="1190">
        <f t="shared" ca="1" si="19"/>
        <v>35.579712321543688</v>
      </c>
      <c r="M95" s="1190">
        <f t="shared" ca="1" si="19"/>
        <v>30.598119305422827</v>
      </c>
    </row>
    <row r="96" spans="2:13">
      <c r="B96" s="1185" t="s">
        <v>264</v>
      </c>
      <c r="C96" s="1185"/>
      <c r="D96" s="1185"/>
      <c r="E96" s="1190"/>
      <c r="F96" s="1191"/>
      <c r="G96" s="1190">
        <f t="shared" ca="1" si="19"/>
        <v>185.903200617956</v>
      </c>
      <c r="H96" s="1190">
        <f t="shared" ca="1" si="19"/>
        <v>41.569219381653049</v>
      </c>
      <c r="I96" s="1190">
        <f t="shared" ca="1" si="19"/>
        <v>33.941125496954271</v>
      </c>
      <c r="J96" s="1190">
        <f t="shared" ca="1" si="19"/>
        <v>29.393876913398135</v>
      </c>
      <c r="K96" s="1190">
        <f t="shared" ca="1" si="19"/>
        <v>26.290682760247968</v>
      </c>
      <c r="L96" s="1190">
        <f t="shared" ca="1" si="19"/>
        <v>21.466252583997978</v>
      </c>
      <c r="M96" s="1190">
        <f t="shared" ca="1" si="19"/>
        <v>18.590320061795598</v>
      </c>
    </row>
    <row r="97" spans="1:17">
      <c r="B97" s="1196" t="s">
        <v>121</v>
      </c>
      <c r="C97" s="1196"/>
      <c r="D97" s="1196"/>
      <c r="E97" s="1185"/>
      <c r="F97" s="1191"/>
      <c r="G97" s="1190">
        <f t="shared" ref="G97:M97" ca="1" si="20">SUM(G91:G96)</f>
        <v>1903.820696305243</v>
      </c>
      <c r="H97" s="1190">
        <f t="shared" ca="1" si="20"/>
        <v>467.41734084873451</v>
      </c>
      <c r="I97" s="1190">
        <f t="shared" ca="1" si="20"/>
        <v>389.11687428085389</v>
      </c>
      <c r="J97" s="1190">
        <f t="shared" ca="1" si="20"/>
        <v>341.99823309068574</v>
      </c>
      <c r="K97" s="1190">
        <f t="shared" ca="1" si="20"/>
        <v>309.59644493105134</v>
      </c>
      <c r="L97" s="1190">
        <f t="shared" ca="1" si="20"/>
        <v>258.712563462432</v>
      </c>
      <c r="M97" s="1190">
        <f t="shared" ca="1" si="20"/>
        <v>228.00233970682936</v>
      </c>
    </row>
    <row r="98" spans="1:17">
      <c r="B98" s="1185" t="s">
        <v>122</v>
      </c>
      <c r="C98" s="1185"/>
      <c r="D98" s="1185"/>
      <c r="E98" s="1197"/>
      <c r="F98" s="1190"/>
      <c r="G98" s="1198">
        <f ca="1">'Cost Input'!$K41/100*'Prices of Cells and Modules'!G97+'Cost Input'!$K42/100*'Prices of Cells and Modules'!G103</f>
        <v>1214.9701245639108</v>
      </c>
      <c r="H98" s="1198">
        <f ca="1">'Cost Input'!$K41/100*'Prices of Cells and Modules'!H97+'Cost Input'!$K42/100*'Prices of Cells and Modules'!H103</f>
        <v>356.96624655860967</v>
      </c>
      <c r="I98" s="1198">
        <f ca="1">'Cost Input'!$K41/100*'Prices of Cells and Modules'!I97+'Cost Input'!$K42/100*'Prices of Cells and Modules'!I103</f>
        <v>305.35271736763093</v>
      </c>
      <c r="J98" s="1198">
        <f ca="1">'Cost Input'!$K41/100*'Prices of Cells and Modules'!J97+'Cost Input'!$K42/100*'Prices of Cells and Modules'!J103</f>
        <v>273.68547018331265</v>
      </c>
      <c r="K98" s="1198">
        <f ca="1">'Cost Input'!$K41/100*'Prices of Cells and Modules'!K97+'Cost Input'!$K42/100*'Prices of Cells and Modules'!K103</f>
        <v>251.58880228835005</v>
      </c>
      <c r="L98" s="1198">
        <f ca="1">'Cost Input'!$K41/100*'Prices of Cells and Modules'!L97+'Cost Input'!$K42/100*'Prices of Cells and Modules'!L103</f>
        <v>216.25552002173623</v>
      </c>
      <c r="M98" s="1198">
        <f ca="1">'Cost Input'!$K41/100*'Prices of Cells and Modules'!M97+'Cost Input'!$K42/100*'Prices of Cells and Modules'!M103</f>
        <v>194.48204558249199</v>
      </c>
    </row>
    <row r="99" spans="1:17">
      <c r="B99" s="1185" t="s">
        <v>123</v>
      </c>
      <c r="C99" s="1185"/>
      <c r="D99" s="1185"/>
      <c r="E99" s="1197"/>
      <c r="F99" s="1190"/>
      <c r="G99" s="1198">
        <f t="shared" ref="G99:M99" ca="1" si="21">G89+G97+G98</f>
        <v>16131.057587258849</v>
      </c>
      <c r="H99" s="1198">
        <f t="shared" ca="1" si="21"/>
        <v>12810.958312512601</v>
      </c>
      <c r="I99" s="1198">
        <f t="shared" ca="1" si="21"/>
        <v>12571.963327047433</v>
      </c>
      <c r="J99" s="1198">
        <f t="shared" ca="1" si="21"/>
        <v>12419.319295365736</v>
      </c>
      <c r="K99" s="1198">
        <f t="shared" ca="1" si="21"/>
        <v>12309.461886670981</v>
      </c>
      <c r="L99" s="1198">
        <f t="shared" ca="1" si="21"/>
        <v>12126.775971425826</v>
      </c>
      <c r="M99" s="1198">
        <f t="shared" ca="1" si="21"/>
        <v>12008.927312231735</v>
      </c>
    </row>
    <row r="100" spans="1:17" ht="14">
      <c r="B100" s="1193" t="s">
        <v>75</v>
      </c>
      <c r="C100" s="1194"/>
      <c r="D100" s="1194"/>
      <c r="E100" s="1190"/>
      <c r="F100" s="1190"/>
      <c r="G100" s="1199"/>
      <c r="H100" s="1199"/>
      <c r="I100" s="1199"/>
      <c r="J100" s="1199"/>
      <c r="K100" s="1199"/>
      <c r="L100" s="1199"/>
      <c r="M100" s="1199"/>
    </row>
    <row r="101" spans="1:17">
      <c r="B101" s="1185" t="s">
        <v>124</v>
      </c>
      <c r="C101" s="1185"/>
      <c r="D101" s="1185"/>
      <c r="E101" s="1190"/>
      <c r="F101" s="1190"/>
      <c r="G101" s="1198">
        <f ca="1">'Cost Input'!$K45/100*(G97+G98)+'Cost Input'!$K46/100*G103</f>
        <v>1346.5000127695553</v>
      </c>
      <c r="H101" s="1198">
        <f ca="1">'Cost Input'!$K45/100*(H97+H98)+'Cost Input'!$K46/100*H103</f>
        <v>418.59503462573082</v>
      </c>
      <c r="I101" s="1198">
        <f ca="1">'Cost Input'!$K45/100*(I97+I98)+'Cost Input'!$K46/100*I103</f>
        <v>360.74985748123288</v>
      </c>
      <c r="J101" s="1198">
        <f ca="1">'Cost Input'!$K45/100*(J97+J98)+'Cost Input'!$K46/100*J103</f>
        <v>325.02864700229748</v>
      </c>
      <c r="K101" s="1198">
        <f ca="1">'Cost Input'!$K45/100*(K97+K98)+'Cost Input'!$K46/100*K103</f>
        <v>299.98409219976224</v>
      </c>
      <c r="L101" s="1198">
        <f ca="1">'Cost Input'!$K45/100*(L97+L98)+'Cost Input'!$K46/100*L103</f>
        <v>259.70513916699633</v>
      </c>
      <c r="M101" s="1198">
        <f ca="1">'Cost Input'!$K45/100*(M97+M98)+'Cost Input'!$K46/100*M103</f>
        <v>234.72248344703064</v>
      </c>
    </row>
    <row r="102" spans="1:17">
      <c r="B102" s="1185" t="s">
        <v>125</v>
      </c>
      <c r="C102" s="1185"/>
      <c r="D102" s="1185"/>
      <c r="E102" s="1190"/>
      <c r="F102" s="1190"/>
      <c r="G102" s="1198">
        <f ca="1">G103*'Cost Input'!$K47/100</f>
        <v>906.88369208362678</v>
      </c>
      <c r="H102" s="1198">
        <f ca="1">H103*'Cost Input'!$K47/100</f>
        <v>339.99862043823168</v>
      </c>
      <c r="I102" s="1198">
        <f ca="1">I103*'Cost Input'!$K47/100</f>
        <v>299.41193531057871</v>
      </c>
      <c r="J102" s="1198">
        <f ca="1">J103*'Cost Input'!$K47/100</f>
        <v>273.77235389407667</v>
      </c>
      <c r="K102" s="1198">
        <f ca="1">K103*'Cost Input'!$K47/100</f>
        <v>255.500448631859</v>
      </c>
      <c r="L102" s="1198">
        <f ca="1">L103*'Cost Input'!$K47/100</f>
        <v>225.54098927352683</v>
      </c>
      <c r="M102" s="1198">
        <f ca="1">M103*'Cost Input'!$K47/100</f>
        <v>206.56221939952047</v>
      </c>
    </row>
    <row r="103" spans="1:17">
      <c r="B103" s="1185" t="s">
        <v>126</v>
      </c>
      <c r="C103" s="1185"/>
      <c r="D103" s="1185"/>
      <c r="E103" s="1190"/>
      <c r="F103" s="1190"/>
      <c r="G103" s="1198">
        <f ca="1">('Cost Input'!$K49/100*'Manufacturing Cost Calculations'!G274+'Cost Input'!$K50/100*'Manufacturing Cost Calculations'!G275*'Cost Input'!$K32/1000000)*1000000/'Manufacturing Cost Calculations'!G5</f>
        <v>2267.2092302090668</v>
      </c>
      <c r="H103" s="1198">
        <f ca="1">('Cost Input'!$K49/100*'Manufacturing Cost Calculations'!H274+'Cost Input'!$K50/100*'Manufacturing Cost Calculations'!H275*'Cost Input'!$K32/1000000)*1000000/'Manufacturing Cost Calculations'!H5</f>
        <v>849.99655109557921</v>
      </c>
      <c r="I103" s="1198">
        <f ca="1">('Cost Input'!$K49/100*'Manufacturing Cost Calculations'!I274+'Cost Input'!$K50/100*'Manufacturing Cost Calculations'!I275*'Cost Input'!$K32/1000000)*1000000/'Manufacturing Cost Calculations'!I5</f>
        <v>748.52983827644675</v>
      </c>
      <c r="J103" s="1198">
        <f ca="1">('Cost Input'!$K49/100*'Manufacturing Cost Calculations'!J274+'Cost Input'!$K50/100*'Manufacturing Cost Calculations'!J275*'Cost Input'!$K32/1000000)*1000000/'Manufacturing Cost Calculations'!J5</f>
        <v>684.43088473519163</v>
      </c>
      <c r="K103" s="1198">
        <f ca="1">('Cost Input'!$K49/100*'Manufacturing Cost Calculations'!K274+'Cost Input'!$K50/100*'Manufacturing Cost Calculations'!K275*'Cost Input'!$K32/1000000)*1000000/'Manufacturing Cost Calculations'!K5</f>
        <v>638.75112157964747</v>
      </c>
      <c r="L103" s="1198">
        <f ca="1">('Cost Input'!$K49/100*'Manufacturing Cost Calculations'!L274+'Cost Input'!$K50/100*'Manufacturing Cost Calculations'!L275*'Cost Input'!$K32/1000000)*1000000/'Manufacturing Cost Calculations'!L5</f>
        <v>563.8524731838171</v>
      </c>
      <c r="M103" s="1198">
        <f ca="1">('Cost Input'!$K49/100*'Manufacturing Cost Calculations'!M274+'Cost Input'!$K50/100*'Manufacturing Cost Calculations'!M275*'Cost Input'!$K32/1000000)*1000000/'Manufacturing Cost Calculations'!M5</f>
        <v>516.40554849880118</v>
      </c>
      <c r="P103" s="168"/>
      <c r="Q103" s="334"/>
    </row>
    <row r="104" spans="1:17">
      <c r="B104" s="1185" t="s">
        <v>127</v>
      </c>
      <c r="C104" s="1185"/>
      <c r="D104" s="1185"/>
      <c r="E104" s="1190"/>
      <c r="F104" s="1190"/>
      <c r="G104" s="1200">
        <f ca="1">G101+G102+G103</f>
        <v>4520.5929350622491</v>
      </c>
      <c r="H104" s="1200">
        <f t="shared" ref="H104:M104" ca="1" si="22">H101+H102+H103</f>
        <v>1608.5902061595416</v>
      </c>
      <c r="I104" s="1200">
        <f t="shared" ca="1" si="22"/>
        <v>1408.6916310682584</v>
      </c>
      <c r="J104" s="1200">
        <f t="shared" ca="1" si="22"/>
        <v>1283.2318856315658</v>
      </c>
      <c r="K104" s="1200">
        <f t="shared" ca="1" si="22"/>
        <v>1194.2356624112685</v>
      </c>
      <c r="L104" s="1200">
        <f t="shared" ca="1" si="22"/>
        <v>1049.0986016243403</v>
      </c>
      <c r="M104" s="1200">
        <f t="shared" ca="1" si="22"/>
        <v>957.69025134535229</v>
      </c>
    </row>
    <row r="105" spans="1:17">
      <c r="A105" s="863" t="s">
        <v>991</v>
      </c>
      <c r="B105" s="1185" t="s">
        <v>128</v>
      </c>
      <c r="C105" s="1185"/>
      <c r="D105" s="1185"/>
      <c r="E105" s="1201"/>
      <c r="F105" s="1190"/>
      <c r="G105" s="1198">
        <f ca="1">'Cost Input'!$K51/100*G83*1000000/'Manufacturing Cost Calculations'!G5</f>
        <v>1021.5812297932775</v>
      </c>
      <c r="H105" s="1198">
        <f ca="1">'Cost Input'!$K51/100*H83*1000000/'Manufacturing Cost Calculations'!H5</f>
        <v>439.89153840485073</v>
      </c>
      <c r="I105" s="1198">
        <f ca="1">'Cost Input'!$K51/100*I83*1000000/'Manufacturing Cost Calculations'!I5</f>
        <v>399.21152062869123</v>
      </c>
      <c r="J105" s="1198">
        <f ca="1">'Cost Input'!$K51/100*J83*1000000/'Manufacturing Cost Calculations'!J5</f>
        <v>373.60072768672086</v>
      </c>
      <c r="K105" s="1198">
        <f ca="1">'Cost Input'!$K51/100*K83*1000000/'Manufacturing Cost Calculations'!K5</f>
        <v>355.3921424029561</v>
      </c>
      <c r="L105" s="1198">
        <f ca="1">'Cost Input'!$K51/100*L83*1000000/'Manufacturing Cost Calculations'!L5</f>
        <v>325.6151976300597</v>
      </c>
      <c r="M105" s="1198">
        <f ca="1">'Cost Input'!$K51/100*M83*1000000/'Manufacturing Cost Calculations'!M5</f>
        <v>306.80310769443474</v>
      </c>
    </row>
    <row r="106" spans="1:17">
      <c r="B106" s="1185" t="s">
        <v>266</v>
      </c>
      <c r="C106" s="1185"/>
      <c r="D106" s="1185"/>
      <c r="E106" s="1190"/>
      <c r="F106" s="1190"/>
      <c r="G106" s="1200">
        <f t="shared" ref="G106:M106" ca="1" si="23">G99+G104+G105</f>
        <v>21673.231752114378</v>
      </c>
      <c r="H106" s="1200">
        <f t="shared" ca="1" si="23"/>
        <v>14859.440057076992</v>
      </c>
      <c r="I106" s="1200">
        <f t="shared" ca="1" si="23"/>
        <v>14379.866478744383</v>
      </c>
      <c r="J106" s="1200">
        <f t="shared" ca="1" si="23"/>
        <v>14076.151908684022</v>
      </c>
      <c r="K106" s="1200">
        <f t="shared" ca="1" si="23"/>
        <v>13859.089691485206</v>
      </c>
      <c r="L106" s="1200">
        <f t="shared" ca="1" si="23"/>
        <v>13501.489770680226</v>
      </c>
      <c r="M106" s="1200">
        <f t="shared" ca="1" si="23"/>
        <v>13273.420671271522</v>
      </c>
    </row>
    <row r="107" spans="1:17" ht="16">
      <c r="B107" s="1184" t="s">
        <v>138</v>
      </c>
      <c r="C107" s="1189"/>
      <c r="D107" s="1189"/>
      <c r="E107" s="1190"/>
      <c r="F107" s="1190"/>
      <c r="G107" s="1199"/>
      <c r="H107" s="1199"/>
      <c r="I107" s="1199"/>
      <c r="J107" s="1199"/>
      <c r="K107" s="1199"/>
      <c r="L107" s="1199"/>
      <c r="M107" s="1199"/>
    </row>
    <row r="108" spans="1:17">
      <c r="B108" s="1185" t="s">
        <v>179</v>
      </c>
      <c r="C108" s="1185"/>
      <c r="D108" s="1185"/>
      <c r="E108" s="1185"/>
      <c r="F108" s="1185"/>
      <c r="G108" s="1202">
        <f t="shared" ref="G108:M108" ca="1" si="24">G87</f>
        <v>12116.589315042083</v>
      </c>
      <c r="H108" s="1202">
        <f t="shared" ca="1" si="24"/>
        <v>11494.596771315521</v>
      </c>
      <c r="I108" s="1202">
        <f t="shared" ca="1" si="24"/>
        <v>11423.836971934843</v>
      </c>
      <c r="J108" s="1202">
        <f t="shared" ca="1" si="24"/>
        <v>11375.34390729081</v>
      </c>
      <c r="K108" s="1202">
        <f t="shared" ca="1" si="24"/>
        <v>11338.678816052925</v>
      </c>
      <c r="L108" s="1202">
        <f t="shared" ca="1" si="24"/>
        <v>11274.114494460064</v>
      </c>
      <c r="M108" s="1202">
        <f t="shared" ca="1" si="24"/>
        <v>11229.867311057849</v>
      </c>
    </row>
    <row r="109" spans="1:17">
      <c r="B109" s="1185" t="s">
        <v>178</v>
      </c>
      <c r="C109" s="1185"/>
      <c r="D109" s="1185"/>
      <c r="E109" s="1185"/>
      <c r="F109" s="1185"/>
      <c r="G109" s="1202">
        <f ca="1">G88</f>
        <v>895.67745134761049</v>
      </c>
      <c r="H109" s="1202">
        <f t="shared" ref="H109:M109" ca="1" si="25">H88</f>
        <v>491.97795378973501</v>
      </c>
      <c r="I109" s="1202">
        <f t="shared" ca="1" si="25"/>
        <v>453.65676346410658</v>
      </c>
      <c r="J109" s="1202">
        <f t="shared" ca="1" si="25"/>
        <v>428.29168480092835</v>
      </c>
      <c r="K109" s="1202">
        <f t="shared" ca="1" si="25"/>
        <v>409.59782339865438</v>
      </c>
      <c r="L109" s="1202">
        <f t="shared" ca="1" si="25"/>
        <v>377.6933934815948</v>
      </c>
      <c r="M109" s="1202">
        <f t="shared" ca="1" si="25"/>
        <v>356.57561588456497</v>
      </c>
    </row>
    <row r="110" spans="1:17">
      <c r="B110" s="1185" t="s">
        <v>1190</v>
      </c>
      <c r="C110" s="1185"/>
      <c r="D110" s="1185"/>
      <c r="E110" s="1185"/>
      <c r="F110" s="1185"/>
      <c r="G110" s="1202">
        <f t="shared" ref="G110:M110" ca="1" si="26">G97</f>
        <v>1903.820696305243</v>
      </c>
      <c r="H110" s="1202">
        <f t="shared" ca="1" si="26"/>
        <v>467.41734084873451</v>
      </c>
      <c r="I110" s="1202">
        <f t="shared" ca="1" si="26"/>
        <v>389.11687428085389</v>
      </c>
      <c r="J110" s="1202">
        <f t="shared" ca="1" si="26"/>
        <v>341.99823309068574</v>
      </c>
      <c r="K110" s="1202">
        <f t="shared" ca="1" si="26"/>
        <v>309.59644493105134</v>
      </c>
      <c r="L110" s="1202">
        <f t="shared" ca="1" si="26"/>
        <v>258.712563462432</v>
      </c>
      <c r="M110" s="1202">
        <f t="shared" ca="1" si="26"/>
        <v>228.00233970682936</v>
      </c>
    </row>
    <row r="111" spans="1:17">
      <c r="B111" s="1185" t="s">
        <v>129</v>
      </c>
      <c r="C111" s="1185"/>
      <c r="D111" s="1185"/>
      <c r="E111" s="1185"/>
      <c r="F111" s="1185"/>
      <c r="G111" s="1202">
        <f t="shared" ref="G111:M111" ca="1" si="27">G98</f>
        <v>1214.9701245639108</v>
      </c>
      <c r="H111" s="1202">
        <f t="shared" ca="1" si="27"/>
        <v>356.96624655860967</v>
      </c>
      <c r="I111" s="1202">
        <f t="shared" ca="1" si="27"/>
        <v>305.35271736763093</v>
      </c>
      <c r="J111" s="1202">
        <f t="shared" ca="1" si="27"/>
        <v>273.68547018331265</v>
      </c>
      <c r="K111" s="1202">
        <f t="shared" ca="1" si="27"/>
        <v>251.58880228835005</v>
      </c>
      <c r="L111" s="1202">
        <f t="shared" ca="1" si="27"/>
        <v>216.25552002173623</v>
      </c>
      <c r="M111" s="1202">
        <f t="shared" ca="1" si="27"/>
        <v>194.48204558249199</v>
      </c>
    </row>
    <row r="112" spans="1:17">
      <c r="B112" s="1185" t="s">
        <v>124</v>
      </c>
      <c r="C112" s="1185"/>
      <c r="D112" s="1185"/>
      <c r="E112" s="1185"/>
      <c r="F112" s="1185"/>
      <c r="G112" s="1190">
        <f t="shared" ref="G112:M112" ca="1" si="28">G101</f>
        <v>1346.5000127695553</v>
      </c>
      <c r="H112" s="1190">
        <f t="shared" ca="1" si="28"/>
        <v>418.59503462573082</v>
      </c>
      <c r="I112" s="1190">
        <f t="shared" ca="1" si="28"/>
        <v>360.74985748123288</v>
      </c>
      <c r="J112" s="1190">
        <f t="shared" ca="1" si="28"/>
        <v>325.02864700229748</v>
      </c>
      <c r="K112" s="1190">
        <f t="shared" ca="1" si="28"/>
        <v>299.98409219976224</v>
      </c>
      <c r="L112" s="1190">
        <f t="shared" ca="1" si="28"/>
        <v>259.70513916699633</v>
      </c>
      <c r="M112" s="1190">
        <f t="shared" ca="1" si="28"/>
        <v>234.72248344703064</v>
      </c>
    </row>
    <row r="113" spans="1:13">
      <c r="B113" s="1185" t="s">
        <v>125</v>
      </c>
      <c r="C113" s="1185"/>
      <c r="D113" s="1185"/>
      <c r="E113" s="1185"/>
      <c r="F113" s="1185"/>
      <c r="G113" s="1202">
        <f t="shared" ref="G113:M113" ca="1" si="29">G102</f>
        <v>906.88369208362678</v>
      </c>
      <c r="H113" s="1202">
        <f t="shared" ca="1" si="29"/>
        <v>339.99862043823168</v>
      </c>
      <c r="I113" s="1202">
        <f t="shared" ca="1" si="29"/>
        <v>299.41193531057871</v>
      </c>
      <c r="J113" s="1202">
        <f t="shared" ca="1" si="29"/>
        <v>273.77235389407667</v>
      </c>
      <c r="K113" s="1202">
        <f t="shared" ca="1" si="29"/>
        <v>255.500448631859</v>
      </c>
      <c r="L113" s="1202">
        <f t="shared" ca="1" si="29"/>
        <v>225.54098927352683</v>
      </c>
      <c r="M113" s="1202">
        <f t="shared" ca="1" si="29"/>
        <v>206.56221939952047</v>
      </c>
    </row>
    <row r="114" spans="1:13">
      <c r="A114" s="863" t="s">
        <v>991</v>
      </c>
      <c r="B114" s="1185" t="s">
        <v>126</v>
      </c>
      <c r="C114" s="1185"/>
      <c r="D114" s="1185"/>
      <c r="E114" s="1185"/>
      <c r="F114" s="1185"/>
      <c r="G114" s="1202">
        <f t="shared" ref="G114:M114" ca="1" si="30">G103</f>
        <v>2267.2092302090668</v>
      </c>
      <c r="H114" s="1202">
        <f t="shared" ca="1" si="30"/>
        <v>849.99655109557921</v>
      </c>
      <c r="I114" s="1202">
        <f t="shared" ca="1" si="30"/>
        <v>748.52983827644675</v>
      </c>
      <c r="J114" s="1202">
        <f t="shared" ca="1" si="30"/>
        <v>684.43088473519163</v>
      </c>
      <c r="K114" s="1202">
        <f t="shared" ca="1" si="30"/>
        <v>638.75112157964747</v>
      </c>
      <c r="L114" s="1202">
        <f t="shared" ca="1" si="30"/>
        <v>563.8524731838171</v>
      </c>
      <c r="M114" s="1202">
        <f t="shared" ca="1" si="30"/>
        <v>516.40554849880118</v>
      </c>
    </row>
    <row r="115" spans="1:13">
      <c r="B115" s="1185" t="s">
        <v>130</v>
      </c>
      <c r="C115" s="1185"/>
      <c r="D115" s="1185"/>
      <c r="E115" s="1185"/>
      <c r="F115" s="1185"/>
      <c r="G115" s="1203">
        <f t="shared" ref="G115:M115" ca="1" si="31">G105</f>
        <v>1021.5812297932775</v>
      </c>
      <c r="H115" s="1203">
        <f t="shared" ca="1" si="31"/>
        <v>439.89153840485073</v>
      </c>
      <c r="I115" s="1203">
        <f t="shared" ca="1" si="31"/>
        <v>399.21152062869123</v>
      </c>
      <c r="J115" s="1203">
        <f t="shared" ca="1" si="31"/>
        <v>373.60072768672086</v>
      </c>
      <c r="K115" s="1203">
        <f t="shared" ca="1" si="31"/>
        <v>355.3921424029561</v>
      </c>
      <c r="L115" s="1203">
        <f t="shared" ca="1" si="31"/>
        <v>325.6151976300597</v>
      </c>
      <c r="M115" s="1203">
        <f t="shared" ca="1" si="31"/>
        <v>306.80310769443474</v>
      </c>
    </row>
    <row r="116" spans="1:13">
      <c r="A116" s="864"/>
      <c r="B116" s="1185" t="s">
        <v>255</v>
      </c>
      <c r="C116" s="1185"/>
      <c r="D116" s="1185"/>
      <c r="E116" s="1185"/>
      <c r="F116" s="1185"/>
      <c r="G116" s="1204">
        <f ca="1">'Cost Input'!$K52/100*SUM(G108:G115)</f>
        <v>1213.7009781184049</v>
      </c>
      <c r="H116" s="1204">
        <f ca="1">'Cost Input'!$K52/100*SUM(H108:H115)</f>
        <v>832.12864319631149</v>
      </c>
      <c r="I116" s="1204">
        <f ca="1">'Cost Input'!$K52/100*SUM(I108:I115)</f>
        <v>805.27252280968526</v>
      </c>
      <c r="J116" s="1204">
        <f ca="1">'Cost Input'!$K52/100*SUM(J108:J115)</f>
        <v>788.26450688630518</v>
      </c>
      <c r="K116" s="1204">
        <f ca="1">'Cost Input'!$K52/100*SUM(K108:K115)</f>
        <v>776.10902272317139</v>
      </c>
      <c r="L116" s="1204">
        <f ca="1">'Cost Input'!$K52/100*SUM(L108:L115)</f>
        <v>756.08342715809249</v>
      </c>
      <c r="M116" s="1204">
        <f ca="1">'Cost Input'!$K52/100*SUM(M108:M115)</f>
        <v>743.31155759120531</v>
      </c>
    </row>
    <row r="117" spans="1:13">
      <c r="B117" s="1185" t="s">
        <v>604</v>
      </c>
      <c r="C117" s="1185"/>
      <c r="D117" s="1185"/>
      <c r="E117" s="1185"/>
      <c r="F117" s="1185"/>
      <c r="G117" s="1202">
        <f t="shared" ref="G117:M117" ca="1" si="32">SUM(G108:G116)</f>
        <v>22886.932730232784</v>
      </c>
      <c r="H117" s="1202">
        <f t="shared" ca="1" si="32"/>
        <v>15691.568700273303</v>
      </c>
      <c r="I117" s="1202">
        <f t="shared" ca="1" si="32"/>
        <v>15185.139001554067</v>
      </c>
      <c r="J117" s="1202">
        <f t="shared" ca="1" si="32"/>
        <v>14864.416415570327</v>
      </c>
      <c r="K117" s="1202">
        <f t="shared" ca="1" si="32"/>
        <v>14635.198714208376</v>
      </c>
      <c r="L117" s="1202">
        <f t="shared" ca="1" si="32"/>
        <v>14257.573197838316</v>
      </c>
      <c r="M117" s="1202">
        <f t="shared" ca="1" si="32"/>
        <v>14016.732228862729</v>
      </c>
    </row>
  </sheetData>
  <mergeCells count="6">
    <mergeCell ref="B63:M63"/>
    <mergeCell ref="B1:M1"/>
    <mergeCell ref="B2:M2"/>
    <mergeCell ref="B5:M5"/>
    <mergeCell ref="B3:G3"/>
    <mergeCell ref="H3:M3"/>
  </mergeCells>
  <phoneticPr fontId="7" type="noConversion"/>
  <pageMargins left="0.75" right="0.75" top="0.75" bottom="0.75" header="0.5" footer="0.5"/>
  <pageSetup orientation="landscape" r:id="rId1"/>
  <headerFooter alignWithMargins="0">
    <oddFooter>&amp;C&amp;P&amp;R&amp;F, &amp;D</oddFooter>
  </headerFooter>
  <rowBreaks count="2" manualBreakCount="2">
    <brk id="25" min="1" max="12" man="1"/>
    <brk id="83" min="1" max="12"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rgb="FFFFC000"/>
  </sheetPr>
  <dimension ref="A1:T141"/>
  <sheetViews>
    <sheetView workbookViewId="0">
      <pane ySplit="3" topLeftCell="A204" activePane="bottomLeft" state="frozen"/>
      <selection activeCell="B1" sqref="B1"/>
      <selection pane="bottomLeft" activeCell="A4" sqref="A4"/>
    </sheetView>
  </sheetViews>
  <sheetFormatPr baseColWidth="10" defaultColWidth="8.83203125" defaultRowHeight="13"/>
  <cols>
    <col min="1" max="1" width="1" customWidth="1"/>
    <col min="6" max="6" width="29.83203125" customWidth="1"/>
    <col min="7" max="13" width="10.6640625" customWidth="1"/>
  </cols>
  <sheetData>
    <row r="1" spans="2:13" ht="18">
      <c r="B1" s="1277" t="s">
        <v>527</v>
      </c>
      <c r="C1" s="1277"/>
      <c r="D1" s="1277"/>
      <c r="E1" s="1277"/>
      <c r="F1" s="1277"/>
      <c r="G1" s="1277"/>
      <c r="H1" s="1277"/>
      <c r="I1" s="1277"/>
      <c r="J1" s="1277"/>
      <c r="K1" s="1277"/>
      <c r="L1" s="1277"/>
      <c r="M1" s="1277"/>
    </row>
    <row r="2" spans="2:13" ht="16">
      <c r="B2" s="1278" t="str">
        <f>'Battery Design'!B2:M2</f>
        <v>LiFePO4 / Graphite</v>
      </c>
      <c r="C2" s="1278"/>
      <c r="D2" s="1278"/>
      <c r="E2" s="1278"/>
      <c r="F2" s="1278"/>
      <c r="G2" s="1278"/>
      <c r="H2" s="1278"/>
      <c r="I2" s="1278"/>
      <c r="J2" s="1278"/>
      <c r="K2" s="1278"/>
      <c r="L2" s="1278"/>
      <c r="M2" s="1278"/>
    </row>
    <row r="3" spans="2:13">
      <c r="B3" s="38"/>
      <c r="C3" s="38"/>
      <c r="D3" s="38"/>
      <c r="E3" s="38"/>
      <c r="F3" s="38"/>
      <c r="G3" s="202" t="s">
        <v>0</v>
      </c>
      <c r="H3" s="202" t="s">
        <v>1</v>
      </c>
      <c r="I3" s="202" t="s">
        <v>2</v>
      </c>
      <c r="J3" s="202" t="s">
        <v>3</v>
      </c>
      <c r="K3" s="202" t="s">
        <v>4</v>
      </c>
      <c r="L3" s="202" t="s">
        <v>530</v>
      </c>
      <c r="M3" s="203" t="s">
        <v>531</v>
      </c>
    </row>
    <row r="4" spans="2:13" ht="16">
      <c r="B4" s="13" t="s">
        <v>24</v>
      </c>
      <c r="C4" s="41"/>
      <c r="D4" s="41"/>
      <c r="E4" s="41"/>
      <c r="F4" s="41"/>
      <c r="G4" s="42"/>
      <c r="H4" s="42"/>
      <c r="I4" s="42"/>
      <c r="J4" s="42"/>
      <c r="K4" s="42"/>
      <c r="L4" s="42"/>
      <c r="M4" s="42"/>
    </row>
    <row r="5" spans="2:13">
      <c r="B5" t="s">
        <v>156</v>
      </c>
      <c r="C5" s="41"/>
      <c r="D5" s="41"/>
      <c r="E5" s="41"/>
      <c r="F5" s="41"/>
      <c r="G5" s="21">
        <f ca="1">'Summary of Results'!G5</f>
        <v>339.99999999999983</v>
      </c>
      <c r="H5" s="18">
        <f ca="1">'Summary of Results'!H5</f>
        <v>339.99999999999983</v>
      </c>
      <c r="I5" s="18">
        <f ca="1">'Summary of Results'!I5</f>
        <v>339.99999999999983</v>
      </c>
      <c r="J5" s="18">
        <f ca="1">'Summary of Results'!J5</f>
        <v>339.99999999999983</v>
      </c>
      <c r="K5" s="18">
        <f ca="1">'Summary of Results'!K5</f>
        <v>339.99999999999983</v>
      </c>
      <c r="L5" s="18">
        <f ca="1">'Summary of Results'!L5</f>
        <v>339.99999999999983</v>
      </c>
      <c r="M5" s="18">
        <f ca="1">'Summary of Results'!M5</f>
        <v>339.99999999999983</v>
      </c>
    </row>
    <row r="6" spans="2:13">
      <c r="B6" s="161" t="s">
        <v>462</v>
      </c>
      <c r="C6" s="41"/>
      <c r="D6" s="41"/>
      <c r="E6" s="41"/>
      <c r="F6" s="41"/>
      <c r="G6" s="18">
        <f>'Summary of Results'!G6</f>
        <v>1</v>
      </c>
      <c r="H6" s="18">
        <f>'Summary of Results'!H6</f>
        <v>1</v>
      </c>
      <c r="I6" s="18">
        <f>'Summary of Results'!I6</f>
        <v>1</v>
      </c>
      <c r="J6" s="18">
        <f>'Summary of Results'!J6</f>
        <v>1</v>
      </c>
      <c r="K6" s="18">
        <f>'Summary of Results'!K6</f>
        <v>1</v>
      </c>
      <c r="L6" s="18">
        <f>'Summary of Results'!L6</f>
        <v>1</v>
      </c>
      <c r="M6" s="18">
        <f>'Summary of Results'!M6</f>
        <v>1</v>
      </c>
    </row>
    <row r="7" spans="2:13">
      <c r="B7" s="161" t="s">
        <v>1197</v>
      </c>
      <c r="C7" s="41"/>
      <c r="D7" s="41"/>
      <c r="E7" s="41"/>
      <c r="F7" s="41"/>
      <c r="G7" s="18" t="str">
        <f>'Summary of Results'!G7</f>
        <v xml:space="preserve"> </v>
      </c>
      <c r="H7" s="18" t="str">
        <f>'Summary of Results'!H7</f>
        <v xml:space="preserve"> </v>
      </c>
      <c r="I7" s="18" t="str">
        <f>'Summary of Results'!I7</f>
        <v xml:space="preserve"> </v>
      </c>
      <c r="J7" s="18" t="str">
        <f>'Summary of Results'!J7</f>
        <v xml:space="preserve"> </v>
      </c>
      <c r="K7" s="18" t="str">
        <f>'Summary of Results'!K7</f>
        <v xml:space="preserve"> </v>
      </c>
      <c r="L7" s="18" t="str">
        <f>'Summary of Results'!L7</f>
        <v xml:space="preserve"> </v>
      </c>
      <c r="M7" s="18" t="str">
        <f>'Summary of Results'!M7</f>
        <v xml:space="preserve"> </v>
      </c>
    </row>
    <row r="8" spans="2:13">
      <c r="B8" t="s">
        <v>492</v>
      </c>
      <c r="C8" s="41"/>
      <c r="D8" s="41"/>
      <c r="E8" s="41"/>
      <c r="F8" s="41"/>
      <c r="G8" s="18">
        <f>'Summary of Results'!G8</f>
        <v>400</v>
      </c>
      <c r="H8" s="18">
        <f>'Summary of Results'!H8</f>
        <v>400</v>
      </c>
      <c r="I8" s="18">
        <f>'Summary of Results'!I8</f>
        <v>400</v>
      </c>
      <c r="J8" s="18">
        <f>'Summary of Results'!J8</f>
        <v>400</v>
      </c>
      <c r="K8" s="18">
        <f>'Summary of Results'!K8</f>
        <v>400</v>
      </c>
      <c r="L8" s="18">
        <f>'Summary of Results'!L8</f>
        <v>400</v>
      </c>
      <c r="M8" s="18">
        <f>'Summary of Results'!M8</f>
        <v>400</v>
      </c>
    </row>
    <row r="9" spans="2:13">
      <c r="B9" s="161" t="s">
        <v>543</v>
      </c>
      <c r="C9" s="41"/>
      <c r="D9" s="41"/>
      <c r="E9" s="41"/>
      <c r="F9" s="41"/>
      <c r="G9" s="3">
        <f>'Battery Design'!G72</f>
        <v>20</v>
      </c>
      <c r="H9" s="3">
        <f>'Battery Design'!H72</f>
        <v>20</v>
      </c>
      <c r="I9" s="3">
        <f>'Battery Design'!I72</f>
        <v>20</v>
      </c>
      <c r="J9" s="3">
        <f>'Battery Design'!J72</f>
        <v>20</v>
      </c>
      <c r="K9" s="3">
        <f>'Battery Design'!K72</f>
        <v>20</v>
      </c>
      <c r="L9" s="3">
        <f>'Battery Design'!L72</f>
        <v>20</v>
      </c>
      <c r="M9" s="3">
        <f>'Battery Design'!M72</f>
        <v>20</v>
      </c>
    </row>
    <row r="10" spans="2:13">
      <c r="B10" s="161" t="s">
        <v>463</v>
      </c>
      <c r="C10" s="41"/>
      <c r="D10" s="41"/>
      <c r="E10" s="41"/>
      <c r="F10" s="41"/>
      <c r="G10" s="234">
        <f ca="1">'Summary of Results'!G9</f>
        <v>99.999999999999957</v>
      </c>
      <c r="H10" s="234">
        <f ca="1">'Summary of Results'!H9</f>
        <v>99.999999999999957</v>
      </c>
      <c r="I10" s="234">
        <f ca="1">'Summary of Results'!I9</f>
        <v>99.999999999999957</v>
      </c>
      <c r="J10" s="234">
        <f ca="1">'Summary of Results'!J9</f>
        <v>99.999999999999957</v>
      </c>
      <c r="K10" s="234">
        <f ca="1">'Summary of Results'!K9</f>
        <v>99.999999999999957</v>
      </c>
      <c r="L10" s="234">
        <f ca="1">'Summary of Results'!L9</f>
        <v>99.999999999999957</v>
      </c>
      <c r="M10" s="234">
        <f ca="1">'Summary of Results'!M9</f>
        <v>99.999999999999957</v>
      </c>
    </row>
    <row r="11" spans="2:13">
      <c r="B11" s="161" t="s">
        <v>418</v>
      </c>
      <c r="C11" s="41"/>
      <c r="D11" s="41"/>
      <c r="E11" s="41"/>
      <c r="F11" s="41"/>
      <c r="G11" s="234">
        <f ca="1">'Summary of Results'!G40</f>
        <v>77.35058609741661</v>
      </c>
      <c r="H11" s="234">
        <f ca="1">'Summary of Results'!H40</f>
        <v>77.35058609741661</v>
      </c>
      <c r="I11" s="234">
        <f ca="1">'Summary of Results'!I40</f>
        <v>77.35058609741661</v>
      </c>
      <c r="J11" s="234">
        <f ca="1">'Summary of Results'!J40</f>
        <v>77.35058609741661</v>
      </c>
      <c r="K11" s="234">
        <f ca="1">'Summary of Results'!K40</f>
        <v>77.35058609741661</v>
      </c>
      <c r="L11" s="234">
        <f ca="1">'Summary of Results'!L40</f>
        <v>77.35058609741661</v>
      </c>
      <c r="M11" s="234">
        <f ca="1">'Summary of Results'!M40</f>
        <v>77.35058609741661</v>
      </c>
    </row>
    <row r="12" spans="2:13">
      <c r="B12" s="161" t="s">
        <v>467</v>
      </c>
      <c r="C12" s="41"/>
      <c r="D12" s="41"/>
      <c r="E12" s="41"/>
      <c r="F12" s="41"/>
      <c r="G12" s="234">
        <f>'Summary of Results'!G11</f>
        <v>328.2</v>
      </c>
      <c r="H12" s="234">
        <f>'Summary of Results'!H11</f>
        <v>328.2</v>
      </c>
      <c r="I12" s="234">
        <f>'Summary of Results'!I11</f>
        <v>328.2</v>
      </c>
      <c r="J12" s="234">
        <f>'Summary of Results'!J11</f>
        <v>328.2</v>
      </c>
      <c r="K12" s="234">
        <f>'Summary of Results'!K11</f>
        <v>328.2</v>
      </c>
      <c r="L12" s="234">
        <f>'Summary of Results'!L11</f>
        <v>328.2</v>
      </c>
      <c r="M12" s="234">
        <f>'Summary of Results'!M11</f>
        <v>328.2</v>
      </c>
    </row>
    <row r="13" spans="2:13">
      <c r="B13" s="161" t="s">
        <v>464</v>
      </c>
      <c r="C13" s="41"/>
      <c r="D13" s="41"/>
      <c r="E13" s="41"/>
      <c r="F13" s="41"/>
      <c r="G13" s="234">
        <f ca="1">'Summary of Results'!G12</f>
        <v>406.23900856291681</v>
      </c>
      <c r="H13" s="234">
        <f ca="1">'Summary of Results'!H12</f>
        <v>406.23900856291681</v>
      </c>
      <c r="I13" s="234">
        <f ca="1">'Summary of Results'!I12</f>
        <v>406.23900856291681</v>
      </c>
      <c r="J13" s="234">
        <f ca="1">'Summary of Results'!J12</f>
        <v>406.23900856291681</v>
      </c>
      <c r="K13" s="234">
        <f ca="1">'Summary of Results'!K12</f>
        <v>406.23900856291681</v>
      </c>
      <c r="L13" s="234">
        <f ca="1">'Summary of Results'!L12</f>
        <v>406.23900856291681</v>
      </c>
      <c r="M13" s="234">
        <f ca="1">'Summary of Results'!M12</f>
        <v>406.23900856291681</v>
      </c>
    </row>
    <row r="14" spans="2:13">
      <c r="B14" s="171" t="s">
        <v>465</v>
      </c>
      <c r="C14" s="41"/>
      <c r="D14" s="41"/>
      <c r="E14" s="41"/>
      <c r="F14" s="41"/>
      <c r="G14" s="18">
        <f>'Summary of Results'!G13</f>
        <v>200</v>
      </c>
      <c r="H14" s="18">
        <f>'Summary of Results'!H13</f>
        <v>200</v>
      </c>
      <c r="I14" s="18">
        <f>'Summary of Results'!I13</f>
        <v>200</v>
      </c>
      <c r="J14" s="18">
        <f>'Summary of Results'!J13</f>
        <v>200</v>
      </c>
      <c r="K14" s="18">
        <f>'Summary of Results'!K13</f>
        <v>200</v>
      </c>
      <c r="L14" s="18">
        <f>'Summary of Results'!L13</f>
        <v>200</v>
      </c>
      <c r="M14" s="18">
        <f>'Summary of Results'!M13</f>
        <v>200</v>
      </c>
    </row>
    <row r="15" spans="2:13">
      <c r="B15" s="94" t="s">
        <v>147</v>
      </c>
      <c r="C15" s="41"/>
      <c r="D15" s="41"/>
      <c r="E15" s="41"/>
      <c r="F15" s="41"/>
      <c r="G15" s="18">
        <f>'Summary of Results'!G14</f>
        <v>80</v>
      </c>
      <c r="H15" s="18">
        <f>'Summary of Results'!H14</f>
        <v>80</v>
      </c>
      <c r="I15" s="18">
        <f>'Summary of Results'!I14</f>
        <v>80</v>
      </c>
      <c r="J15" s="18">
        <f>'Summary of Results'!J14</f>
        <v>80</v>
      </c>
      <c r="K15" s="18">
        <f>'Summary of Results'!K14</f>
        <v>80</v>
      </c>
      <c r="L15" s="18">
        <f>'Summary of Results'!L14</f>
        <v>80</v>
      </c>
      <c r="M15" s="18">
        <f>'Summary of Results'!M14</f>
        <v>80</v>
      </c>
    </row>
    <row r="16" spans="2:13">
      <c r="B16" s="74" t="s">
        <v>149</v>
      </c>
      <c r="C16" s="41"/>
      <c r="D16" s="41"/>
      <c r="E16" s="41"/>
      <c r="F16" s="41"/>
      <c r="G16" s="234">
        <f ca="1">'Summary of Results'!G15</f>
        <v>91.379782261993427</v>
      </c>
      <c r="H16" s="234">
        <f ca="1">'Summary of Results'!H15</f>
        <v>91.379782261993427</v>
      </c>
      <c r="I16" s="234">
        <f ca="1">'Summary of Results'!I15</f>
        <v>91.379782261993427</v>
      </c>
      <c r="J16" s="234">
        <f ca="1">'Summary of Results'!J15</f>
        <v>91.379782261993427</v>
      </c>
      <c r="K16" s="234">
        <f ca="1">'Summary of Results'!K15</f>
        <v>91.379782261993427</v>
      </c>
      <c r="L16" s="234">
        <f ca="1">'Summary of Results'!L15</f>
        <v>91.379782261993427</v>
      </c>
      <c r="M16" s="234">
        <f ca="1">'Summary of Results'!M15</f>
        <v>91.379782261993427</v>
      </c>
    </row>
    <row r="17" spans="2:13">
      <c r="B17" s="161" t="s">
        <v>1514</v>
      </c>
      <c r="C17" s="41"/>
      <c r="D17" s="41"/>
      <c r="E17" s="41"/>
      <c r="F17" s="41"/>
      <c r="G17" s="234">
        <f ca="1">'Summary of Results'!G16</f>
        <v>293.46291258075502</v>
      </c>
      <c r="H17" s="234">
        <f ca="1">'Summary of Results'!H16</f>
        <v>293.46291258075502</v>
      </c>
      <c r="I17" s="234">
        <f ca="1">'Summary of Results'!I16</f>
        <v>293.46291258075502</v>
      </c>
      <c r="J17" s="234">
        <f ca="1">'Summary of Results'!J16</f>
        <v>293.46291258075502</v>
      </c>
      <c r="K17" s="234">
        <f ca="1">'Summary of Results'!K16</f>
        <v>293.46291258075502</v>
      </c>
      <c r="L17" s="234">
        <f ca="1">'Summary of Results'!L16</f>
        <v>293.46291258075502</v>
      </c>
      <c r="M17" s="234">
        <f ca="1">'Summary of Results'!M16</f>
        <v>293.46291258075502</v>
      </c>
    </row>
    <row r="18" spans="2:13">
      <c r="B18" s="161" t="s">
        <v>1515</v>
      </c>
      <c r="C18" s="41"/>
      <c r="D18" s="41"/>
      <c r="E18" s="41"/>
      <c r="F18" s="41"/>
      <c r="G18" s="234">
        <f ca="1">'Summary of Results'!G17</f>
        <v>551.79122628184587</v>
      </c>
      <c r="H18" s="234">
        <f ca="1">'Summary of Results'!H17</f>
        <v>551.79122628184587</v>
      </c>
      <c r="I18" s="234">
        <f ca="1">'Summary of Results'!I17</f>
        <v>551.79122628184587</v>
      </c>
      <c r="J18" s="234">
        <f ca="1">'Summary of Results'!J17</f>
        <v>551.79122628184587</v>
      </c>
      <c r="K18" s="234">
        <f ca="1">'Summary of Results'!K17</f>
        <v>551.79122628184587</v>
      </c>
      <c r="L18" s="234">
        <f ca="1">'Summary of Results'!L17</f>
        <v>551.79122628184587</v>
      </c>
      <c r="M18" s="234">
        <f ca="1">'Summary of Results'!M17</f>
        <v>551.79122628184587</v>
      </c>
    </row>
    <row r="19" spans="2:13">
      <c r="B19" t="s">
        <v>323</v>
      </c>
      <c r="C19" s="41"/>
      <c r="D19" s="41"/>
      <c r="E19" s="41"/>
      <c r="F19" s="41"/>
      <c r="G19" s="234">
        <f ca="1">'Summary of Results'!G18</f>
        <v>251.32099900724103</v>
      </c>
      <c r="H19" s="234">
        <f ca="1">'Summary of Results'!H18</f>
        <v>251.32099900724103</v>
      </c>
      <c r="I19" s="234">
        <f ca="1">'Summary of Results'!I18</f>
        <v>251.32099900724103</v>
      </c>
      <c r="J19" s="234">
        <f ca="1">'Summary of Results'!J18</f>
        <v>251.32099900724103</v>
      </c>
      <c r="K19" s="234">
        <f ca="1">'Summary of Results'!K18</f>
        <v>251.32099900724103</v>
      </c>
      <c r="L19" s="234">
        <f ca="1">'Summary of Results'!L18</f>
        <v>251.32099900724103</v>
      </c>
      <c r="M19" s="234">
        <f ca="1">'Summary of Results'!M18</f>
        <v>251.32099900724103</v>
      </c>
    </row>
    <row r="20" spans="2:13" ht="16">
      <c r="B20" s="232" t="s">
        <v>523</v>
      </c>
      <c r="C20" s="167"/>
      <c r="D20" s="167"/>
      <c r="E20" s="167"/>
      <c r="F20" s="167"/>
      <c r="G20" s="167"/>
      <c r="H20" s="167"/>
      <c r="I20" s="167"/>
      <c r="J20" s="167"/>
      <c r="K20" s="167"/>
    </row>
    <row r="21" spans="2:13">
      <c r="B21" s="853" t="s">
        <v>1174</v>
      </c>
      <c r="E21" s="2"/>
      <c r="F21" s="2"/>
      <c r="G21" s="28">
        <f ca="1">G$8*'Manufacturing Cost Calculations'!G72</f>
        <v>2402.7629075432037</v>
      </c>
      <c r="H21" s="28">
        <f ca="1">H$8*'Manufacturing Cost Calculations'!H72</f>
        <v>1780.7703638166408</v>
      </c>
      <c r="I21" s="28">
        <f ca="1">I$8*'Manufacturing Cost Calculations'!I72</f>
        <v>1710.010564435963</v>
      </c>
      <c r="J21" s="28">
        <f ca="1">J$8*'Manufacturing Cost Calculations'!J72</f>
        <v>1661.5174997919294</v>
      </c>
      <c r="K21" s="28">
        <f ca="1">K$8*'Manufacturing Cost Calculations'!K72</f>
        <v>1624.8524085540457</v>
      </c>
      <c r="L21" s="28">
        <f ca="1">L$8*'Manufacturing Cost Calculations'!L72</f>
        <v>1560.288086961184</v>
      </c>
      <c r="M21" s="28">
        <f ca="1">M$8*'Manufacturing Cost Calculations'!M72</f>
        <v>1516.0409035589682</v>
      </c>
    </row>
    <row r="22" spans="2:13">
      <c r="B22" s="853" t="s">
        <v>1173</v>
      </c>
      <c r="E22" s="2"/>
      <c r="F22" s="2"/>
      <c r="G22" s="28">
        <f ca="1">G8*'Manufacturing Cost Calculations'!G77</f>
        <v>0</v>
      </c>
      <c r="H22" s="28">
        <f ca="1">H8*'Manufacturing Cost Calculations'!H77</f>
        <v>0</v>
      </c>
      <c r="I22" s="28">
        <f ca="1">I8*'Manufacturing Cost Calculations'!I77</f>
        <v>0</v>
      </c>
      <c r="J22" s="28">
        <f ca="1">J8*'Manufacturing Cost Calculations'!J77</f>
        <v>0</v>
      </c>
      <c r="K22" s="28">
        <f ca="1">K8*'Manufacturing Cost Calculations'!K77</f>
        <v>0</v>
      </c>
      <c r="L22" s="28">
        <f ca="1">L8*'Manufacturing Cost Calculations'!L77</f>
        <v>0</v>
      </c>
      <c r="M22" s="28">
        <f ca="1">M8*'Manufacturing Cost Calculations'!M77</f>
        <v>0</v>
      </c>
    </row>
    <row r="23" spans="2:13">
      <c r="B23" s="853" t="s">
        <v>1175</v>
      </c>
      <c r="E23" s="2"/>
      <c r="F23" s="2"/>
      <c r="G23" s="28">
        <f ca="1">G8*('Manufacturing Cost Calculations'!G73+'Manufacturing Cost Calculations'!G74+'Manufacturing Cost Calculations'!G75+'Manufacturing Cost Calculations'!G78+'Manufacturing Cost Calculations'!G79)</f>
        <v>80.813312922368496</v>
      </c>
      <c r="H23" s="28">
        <f ca="1">H8*('Manufacturing Cost Calculations'!H73+'Manufacturing Cost Calculations'!H74+'Manufacturing Cost Calculations'!H75+'Manufacturing Cost Calculations'!H78+'Manufacturing Cost Calculations'!H79)</f>
        <v>80.813312922368496</v>
      </c>
      <c r="I23" s="28">
        <f ca="1">I8*('Manufacturing Cost Calculations'!I73+'Manufacturing Cost Calculations'!I74+'Manufacturing Cost Calculations'!I75+'Manufacturing Cost Calculations'!I78+'Manufacturing Cost Calculations'!I79)</f>
        <v>80.813312922368496</v>
      </c>
      <c r="J23" s="28">
        <f ca="1">J8*('Manufacturing Cost Calculations'!J73+'Manufacturing Cost Calculations'!J74+'Manufacturing Cost Calculations'!J75+'Manufacturing Cost Calculations'!J78+'Manufacturing Cost Calculations'!J79)</f>
        <v>80.813312922368496</v>
      </c>
      <c r="K23" s="28">
        <f ca="1">K8*('Manufacturing Cost Calculations'!K73+'Manufacturing Cost Calculations'!K74+'Manufacturing Cost Calculations'!K75+'Manufacturing Cost Calculations'!K78+'Manufacturing Cost Calculations'!K79)</f>
        <v>80.813312922368496</v>
      </c>
      <c r="L23" s="28">
        <f ca="1">L8*('Manufacturing Cost Calculations'!L73+'Manufacturing Cost Calculations'!L74+'Manufacturing Cost Calculations'!L75+'Manufacturing Cost Calculations'!L78+'Manufacturing Cost Calculations'!L79)</f>
        <v>80.813312922368496</v>
      </c>
      <c r="M23" s="28">
        <f ca="1">M8*('Manufacturing Cost Calculations'!M73+'Manufacturing Cost Calculations'!M74+'Manufacturing Cost Calculations'!M75+'Manufacturing Cost Calculations'!M78+'Manufacturing Cost Calculations'!M79)</f>
        <v>80.813312922368496</v>
      </c>
    </row>
    <row r="24" spans="2:13">
      <c r="B24" s="853" t="s">
        <v>1176</v>
      </c>
      <c r="E24" s="2"/>
      <c r="F24" s="2"/>
      <c r="G24" s="28">
        <f ca="1">G8*'Manufacturing Cost Calculations'!G80</f>
        <v>140.76002491402679</v>
      </c>
      <c r="H24" s="28">
        <f ca="1">H8*'Manufacturing Cost Calculations'!H80</f>
        <v>140.76002491402679</v>
      </c>
      <c r="I24" s="28">
        <f ca="1">I8*'Manufacturing Cost Calculations'!I80</f>
        <v>140.76002491402679</v>
      </c>
      <c r="J24" s="28">
        <f ca="1">J8*'Manufacturing Cost Calculations'!J80</f>
        <v>140.76002491402679</v>
      </c>
      <c r="K24" s="28">
        <f ca="1">K8*'Manufacturing Cost Calculations'!K80</f>
        <v>140.76002491402679</v>
      </c>
      <c r="L24" s="28">
        <f ca="1">L8*'Manufacturing Cost Calculations'!L80</f>
        <v>140.76002491402679</v>
      </c>
      <c r="M24" s="28">
        <f ca="1">M8*'Manufacturing Cost Calculations'!M80</f>
        <v>140.76002491402679</v>
      </c>
    </row>
    <row r="25" spans="2:13">
      <c r="B25" s="853" t="s">
        <v>1177</v>
      </c>
      <c r="E25" s="2"/>
      <c r="F25" s="2"/>
      <c r="G25" s="28">
        <f ca="1">G8*'Manufacturing Cost Calculations'!G81</f>
        <v>593.68747134233399</v>
      </c>
      <c r="H25" s="28">
        <f ca="1">H8*'Manufacturing Cost Calculations'!H81</f>
        <v>593.68747134233399</v>
      </c>
      <c r="I25" s="28">
        <f ca="1">I8*'Manufacturing Cost Calculations'!I81</f>
        <v>593.68747134233399</v>
      </c>
      <c r="J25" s="28">
        <f ca="1">J8*'Manufacturing Cost Calculations'!J81</f>
        <v>593.68747134233399</v>
      </c>
      <c r="K25" s="28">
        <f ca="1">K8*'Manufacturing Cost Calculations'!K81</f>
        <v>593.68747134233399</v>
      </c>
      <c r="L25" s="28">
        <f ca="1">L8*'Manufacturing Cost Calculations'!L81</f>
        <v>593.68747134233399</v>
      </c>
      <c r="M25" s="28">
        <f ca="1">M8*'Manufacturing Cost Calculations'!M81</f>
        <v>593.68747134233399</v>
      </c>
    </row>
    <row r="26" spans="2:13">
      <c r="B26" s="853" t="s">
        <v>1178</v>
      </c>
      <c r="E26" s="2"/>
      <c r="F26" s="2"/>
      <c r="G26" s="28">
        <f ca="1">G8*'Manufacturing Cost Calculations'!G82</f>
        <v>8314.5628062475735</v>
      </c>
      <c r="H26" s="28">
        <f ca="1">H8*'Manufacturing Cost Calculations'!H82</f>
        <v>8314.5628062475735</v>
      </c>
      <c r="I26" s="28">
        <f ca="1">I8*'Manufacturing Cost Calculations'!I82</f>
        <v>8314.5628062475735</v>
      </c>
      <c r="J26" s="28">
        <f ca="1">J8*'Manufacturing Cost Calculations'!J82</f>
        <v>8314.5628062475735</v>
      </c>
      <c r="K26" s="28">
        <f ca="1">K8*'Manufacturing Cost Calculations'!K82</f>
        <v>8314.5628062475735</v>
      </c>
      <c r="L26" s="28">
        <f ca="1">L8*'Manufacturing Cost Calculations'!L82</f>
        <v>8314.5628062475735</v>
      </c>
      <c r="M26" s="28">
        <f ca="1">M8*'Manufacturing Cost Calculations'!M82</f>
        <v>8314.5628062475735</v>
      </c>
    </row>
    <row r="27" spans="2:13">
      <c r="B27" s="853" t="s">
        <v>1179</v>
      </c>
      <c r="E27" s="2"/>
      <c r="F27" s="2"/>
      <c r="G27" s="28">
        <f ca="1">G8*'Manufacturing Cost Calculations'!G83</f>
        <v>584.00279207257654</v>
      </c>
      <c r="H27" s="28">
        <f ca="1">H8*'Manufacturing Cost Calculations'!H83</f>
        <v>584.00279207257654</v>
      </c>
      <c r="I27" s="28">
        <f ca="1">I8*'Manufacturing Cost Calculations'!I83</f>
        <v>584.00279207257654</v>
      </c>
      <c r="J27" s="28">
        <f ca="1">J8*'Manufacturing Cost Calculations'!J83</f>
        <v>584.00279207257654</v>
      </c>
      <c r="K27" s="28">
        <f ca="1">K8*'Manufacturing Cost Calculations'!K83</f>
        <v>584.00279207257654</v>
      </c>
      <c r="L27" s="28">
        <f ca="1">L8*'Manufacturing Cost Calculations'!L83</f>
        <v>584.00279207257654</v>
      </c>
      <c r="M27" s="28">
        <f ca="1">M8*'Manufacturing Cost Calculations'!M83</f>
        <v>584.00279207257654</v>
      </c>
    </row>
    <row r="28" spans="2:13">
      <c r="B28" s="17" t="s">
        <v>1180</v>
      </c>
      <c r="E28" s="2"/>
      <c r="F28" s="2"/>
      <c r="G28" s="28">
        <f ca="1">G8*('Manufacturing Cost Calculations'!G84+'Manufacturing Cost Calculations'!G85+'Manufacturing Cost Calculations'!G86)</f>
        <v>895.67745134761049</v>
      </c>
      <c r="H28" s="28">
        <f ca="1">H8*('Manufacturing Cost Calculations'!H84+'Manufacturing Cost Calculations'!H85+'Manufacturing Cost Calculations'!H86)</f>
        <v>491.97795378973501</v>
      </c>
      <c r="I28" s="28">
        <f ca="1">I8*('Manufacturing Cost Calculations'!I84+'Manufacturing Cost Calculations'!I85+'Manufacturing Cost Calculations'!I86)</f>
        <v>453.65676346410658</v>
      </c>
      <c r="J28" s="28">
        <f ca="1">J8*('Manufacturing Cost Calculations'!J84+'Manufacturing Cost Calculations'!J85+'Manufacturing Cost Calculations'!J86)</f>
        <v>428.29168480092835</v>
      </c>
      <c r="K28" s="28">
        <f ca="1">K8*('Manufacturing Cost Calculations'!K84+'Manufacturing Cost Calculations'!K85+'Manufacturing Cost Calculations'!K86)</f>
        <v>409.59782339865438</v>
      </c>
      <c r="L28" s="28">
        <f ca="1">L8*('Manufacturing Cost Calculations'!L84+'Manufacturing Cost Calculations'!L85+'Manufacturing Cost Calculations'!L86)</f>
        <v>377.6933934815948</v>
      </c>
      <c r="M28" s="28">
        <f ca="1">M8*('Manufacturing Cost Calculations'!M84+'Manufacturing Cost Calculations'!M85+'Manufacturing Cost Calculations'!M86)</f>
        <v>356.57561588456497</v>
      </c>
    </row>
    <row r="29" spans="2:13">
      <c r="B29" s="859" t="s">
        <v>1181</v>
      </c>
      <c r="E29" s="2"/>
      <c r="F29" s="3"/>
      <c r="G29" s="28">
        <f ca="1">G9*'Manufacturing Cost Calculations'!G97</f>
        <v>964.76082502884299</v>
      </c>
      <c r="H29" s="28">
        <f ca="1">H9*'Manufacturing Cost Calculations'!H97</f>
        <v>873.04565203350637</v>
      </c>
      <c r="I29" s="28">
        <f ca="1">I9*'Manufacturing Cost Calculations'!I97</f>
        <v>864.33958571099777</v>
      </c>
      <c r="J29" s="28">
        <f ca="1">J9*'Manufacturing Cost Calculations'!J97</f>
        <v>858.57697616675341</v>
      </c>
      <c r="K29" s="28">
        <f ca="1">K9*'Manufacturing Cost Calculations'!K97</f>
        <v>854.32997872724172</v>
      </c>
      <c r="L29" s="28">
        <f ca="1">L9*'Manufacturing Cost Calculations'!L97</f>
        <v>847.08171528658397</v>
      </c>
      <c r="M29" s="28">
        <f ca="1">M9*'Manufacturing Cost Calculations'!M97</f>
        <v>842.28403622751841</v>
      </c>
    </row>
    <row r="30" spans="2:13">
      <c r="B30" s="853" t="s">
        <v>1182</v>
      </c>
      <c r="G30" s="137">
        <f ca="1">'Manufacturing Cost Calculations'!G108</f>
        <v>837.59378127691787</v>
      </c>
      <c r="H30" s="137">
        <f ca="1">'Manufacturing Cost Calculations'!H108</f>
        <v>837.59378127691787</v>
      </c>
      <c r="I30" s="137">
        <f ca="1">'Manufacturing Cost Calculations'!I108</f>
        <v>837.59378127691787</v>
      </c>
      <c r="J30" s="137">
        <f ca="1">'Manufacturing Cost Calculations'!J108</f>
        <v>837.59378127691787</v>
      </c>
      <c r="K30" s="137">
        <f ca="1">'Manufacturing Cost Calculations'!K108</f>
        <v>837.59378127691787</v>
      </c>
      <c r="L30" s="137">
        <f ca="1">'Manufacturing Cost Calculations'!L108</f>
        <v>837.59378127691787</v>
      </c>
      <c r="M30" s="137">
        <f ca="1">'Manufacturing Cost Calculations'!M108</f>
        <v>837.59378127691787</v>
      </c>
    </row>
    <row r="31" spans="2:13">
      <c r="B31" s="853" t="s">
        <v>1183</v>
      </c>
      <c r="F31" s="4"/>
      <c r="G31" s="28">
        <f ca="1">SUM(G21:G30)</f>
        <v>14814.621372695454</v>
      </c>
      <c r="H31" s="28">
        <f t="shared" ref="H31:L31" ca="1" si="0">SUM(H21:H30)</f>
        <v>13697.21415841568</v>
      </c>
      <c r="I31" s="28">
        <f t="shared" ca="1" si="0"/>
        <v>13579.427102386864</v>
      </c>
      <c r="J31" s="28">
        <f t="shared" ca="1" si="0"/>
        <v>13499.806349535409</v>
      </c>
      <c r="K31" s="28">
        <f t="shared" ca="1" si="0"/>
        <v>13440.20039945574</v>
      </c>
      <c r="L31" s="28">
        <f t="shared" ca="1" si="0"/>
        <v>13336.48338450516</v>
      </c>
      <c r="M31" s="28">
        <f ca="1">SUM(M21:M30)</f>
        <v>13266.32074444685</v>
      </c>
    </row>
    <row r="32" spans="2:13">
      <c r="B32" s="853" t="s">
        <v>1184</v>
      </c>
      <c r="F32" s="4"/>
      <c r="G32" s="28">
        <f>'Manufacturing Cost Calculations'!G116</f>
        <v>589.46061382423511</v>
      </c>
      <c r="H32" s="28">
        <f>'Manufacturing Cost Calculations'!H116</f>
        <v>436.86956729686773</v>
      </c>
      <c r="I32" s="28">
        <f>'Manufacturing Cost Calculations'!I116</f>
        <v>419.51033695163892</v>
      </c>
      <c r="J32" s="28">
        <f>'Manufacturing Cost Calculations'!J116</f>
        <v>407.6137192863871</v>
      </c>
      <c r="K32" s="28">
        <f>'Manufacturing Cost Calculations'!K116</f>
        <v>398.61881299781658</v>
      </c>
      <c r="L32" s="28">
        <f>'Manufacturing Cost Calculations'!L116</f>
        <v>382.77949546973497</v>
      </c>
      <c r="M32" s="28">
        <f>'Manufacturing Cost Calculations'!M116</f>
        <v>371.92450357420404</v>
      </c>
    </row>
    <row r="33" spans="2:13">
      <c r="B33" s="853" t="s">
        <v>1185</v>
      </c>
      <c r="F33" s="4"/>
      <c r="G33" s="29">
        <f ca="1">'Manufacturing Cost Calculations'!G120</f>
        <v>40</v>
      </c>
      <c r="H33" s="29">
        <f ca="1">'Manufacturing Cost Calculations'!H120</f>
        <v>40</v>
      </c>
      <c r="I33" s="29">
        <f ca="1">'Manufacturing Cost Calculations'!I120</f>
        <v>40</v>
      </c>
      <c r="J33" s="29">
        <f ca="1">'Manufacturing Cost Calculations'!J120</f>
        <v>40</v>
      </c>
      <c r="K33" s="29">
        <f ca="1">'Manufacturing Cost Calculations'!K120</f>
        <v>40</v>
      </c>
      <c r="L33" s="29">
        <f ca="1">'Manufacturing Cost Calculations'!L120</f>
        <v>40</v>
      </c>
      <c r="M33" s="29">
        <f ca="1">'Manufacturing Cost Calculations'!M120</f>
        <v>40</v>
      </c>
    </row>
    <row r="34" spans="2:13">
      <c r="B34" s="4" t="s">
        <v>1387</v>
      </c>
      <c r="F34" s="4"/>
      <c r="G34" s="29"/>
      <c r="H34" s="29"/>
      <c r="I34" s="29"/>
      <c r="J34" s="29"/>
      <c r="K34" s="29"/>
      <c r="L34" s="29"/>
      <c r="M34" s="29"/>
    </row>
    <row r="35" spans="2:13">
      <c r="B35" s="853" t="s">
        <v>1388</v>
      </c>
      <c r="F35" s="4"/>
      <c r="G35" s="140">
        <f ca="1">'Manufacturing Cost Calculations'!G134+'Manufacturing Cost Calculations'!G139+'Manufacturing Cost Calculations'!G146+'Manufacturing Cost Calculations'!G152+'Manufacturing Cost Calculations'!G157+'Manufacturing Cost Calculations'!G163+'Manufacturing Cost Calculations'!G168+'Manufacturing Cost Calculations'!G173+'Manufacturing Cost Calculations'!G178+'Manufacturing Cost Calculations'!G183</f>
        <v>20835.251943247778</v>
      </c>
      <c r="H35" s="140">
        <f ca="1">'Manufacturing Cost Calculations'!H134+'Manufacturing Cost Calculations'!H139+'Manufacturing Cost Calculations'!H146+'Manufacturing Cost Calculations'!H152+'Manufacturing Cost Calculations'!H157+'Manufacturing Cost Calculations'!H163+'Manufacturing Cost Calculations'!H168+'Manufacturing Cost Calculations'!H173+'Manufacturing Cost Calculations'!H178+'Manufacturing Cost Calculations'!H183</f>
        <v>99781.519117343065</v>
      </c>
      <c r="I35" s="140">
        <f ca="1">'Manufacturing Cost Calculations'!I134+'Manufacturing Cost Calculations'!I139+'Manufacturing Cost Calculations'!I146+'Manufacturing Cost Calculations'!I152+'Manufacturing Cost Calculations'!I157+'Manufacturing Cost Calculations'!I163+'Manufacturing Cost Calculations'!I168+'Manufacturing Cost Calculations'!I173+'Manufacturing Cost Calculations'!I178+'Manufacturing Cost Calculations'!I183</f>
        <v>123946.66464278531</v>
      </c>
      <c r="J35" s="140">
        <f ca="1">'Manufacturing Cost Calculations'!J134+'Manufacturing Cost Calculations'!J139+'Manufacturing Cost Calculations'!J146+'Manufacturing Cost Calculations'!J152+'Manufacturing Cost Calculations'!J157+'Manufacturing Cost Calculations'!J163+'Manufacturing Cost Calculations'!J168+'Manufacturing Cost Calculations'!J173+'Manufacturing Cost Calculations'!J178+'Manufacturing Cost Calculations'!J183</f>
        <v>144678.68649450544</v>
      </c>
      <c r="K35" s="140">
        <f ca="1">'Manufacturing Cost Calculations'!K134+'Manufacturing Cost Calculations'!K139+'Manufacturing Cost Calculations'!K146+'Manufacturing Cost Calculations'!K152+'Manufacturing Cost Calculations'!K157+'Manufacturing Cost Calculations'!K163+'Manufacturing Cost Calculations'!K168+'Manufacturing Cost Calculations'!K173+'Manufacturing Cost Calculations'!K178+'Manufacturing Cost Calculations'!K183</f>
        <v>163195.42510171785</v>
      </c>
      <c r="L35" s="140">
        <f ca="1">'Manufacturing Cost Calculations'!L134+'Manufacturing Cost Calculations'!L139+'Manufacturing Cost Calculations'!L146+'Manufacturing Cost Calculations'!L152+'Manufacturing Cost Calculations'!L157+'Manufacturing Cost Calculations'!L163+'Manufacturing Cost Calculations'!L168+'Manufacturing Cost Calculations'!L173+'Manufacturing Cost Calculations'!L178+'Manufacturing Cost Calculations'!L183</f>
        <v>203334.7665767688</v>
      </c>
      <c r="M35" s="140">
        <f ca="1">'Manufacturing Cost Calculations'!M134+'Manufacturing Cost Calculations'!M139+'Manufacturing Cost Calculations'!M146+'Manufacturing Cost Calculations'!M152+'Manufacturing Cost Calculations'!M157+'Manufacturing Cost Calculations'!M163+'Manufacturing Cost Calculations'!M168+'Manufacturing Cost Calculations'!M173+'Manufacturing Cost Calculations'!M178+'Manufacturing Cost Calculations'!M183</f>
        <v>237873.49514703479</v>
      </c>
    </row>
    <row r="36" spans="2:13">
      <c r="B36" s="853" t="s">
        <v>1360</v>
      </c>
      <c r="F36" s="4"/>
      <c r="G36" s="140">
        <f ca="1">'Manufacturing Cost Calculations'!G195+'Manufacturing Cost Calculations'!G200+'Manufacturing Cost Calculations'!G205+'Manufacturing Cost Calculations'!G210+'Manufacturing Cost Calculations'!G215</f>
        <v>22618.181535643489</v>
      </c>
      <c r="H36" s="140">
        <f ca="1">'Manufacturing Cost Calculations'!H195+'Manufacturing Cost Calculations'!H200+'Manufacturing Cost Calculations'!H205+'Manufacturing Cost Calculations'!H210+'Manufacturing Cost Calculations'!H215</f>
        <v>126030.47897031924</v>
      </c>
      <c r="I36" s="140">
        <f ca="1">'Manufacturing Cost Calculations'!I195+'Manufacturing Cost Calculations'!I200+'Manufacturing Cost Calculations'!I205+'Manufacturing Cost Calculations'!I210+'Manufacturing Cost Calculations'!I215</f>
        <v>160703.08125100279</v>
      </c>
      <c r="J36" s="140">
        <f ca="1">'Manufacturing Cost Calculations'!J195+'Manufacturing Cost Calculations'!J200+'Manufacturing Cost Calculations'!J205+'Manufacturing Cost Calculations'!J210+'Manufacturing Cost Calculations'!J215</f>
        <v>191206.32496352986</v>
      </c>
      <c r="K36" s="140">
        <f ca="1">'Manufacturing Cost Calculations'!K195+'Manufacturing Cost Calculations'!K200+'Manufacturing Cost Calculations'!K205+'Manufacturing Cost Calculations'!K210+'Manufacturing Cost Calculations'!K215</f>
        <v>218965.15169380841</v>
      </c>
      <c r="L36" s="140">
        <f ca="1">'Manufacturing Cost Calculations'!L195+'Manufacturing Cost Calculations'!L200+'Manufacturing Cost Calculations'!L205+'Manufacturing Cost Calculations'!L210+'Manufacturing Cost Calculations'!L215</f>
        <v>280582.43125203741</v>
      </c>
      <c r="M36" s="140">
        <f ca="1">'Manufacturing Cost Calculations'!M195+'Manufacturing Cost Calculations'!M200+'Manufacturing Cost Calculations'!M205+'Manufacturing Cost Calculations'!M210+'Manufacturing Cost Calculations'!M215</f>
        <v>334967.8580830454</v>
      </c>
    </row>
    <row r="37" spans="2:13">
      <c r="B37" s="853" t="s">
        <v>1386</v>
      </c>
      <c r="F37" s="4"/>
      <c r="G37" s="140">
        <f>'Manufacturing Cost Calculations'!G222+'Manufacturing Cost Calculations'!G228+'Manufacturing Cost Calculations'!G233+'Manufacturing Cost Calculations'!G238</f>
        <v>10755.572996611016</v>
      </c>
      <c r="H37" s="140">
        <f>'Manufacturing Cost Calculations'!H222+'Manufacturing Cost Calculations'!H228+'Manufacturing Cost Calculations'!H233+'Manufacturing Cost Calculations'!H238</f>
        <v>53382.578012861777</v>
      </c>
      <c r="I37" s="140">
        <f>'Manufacturing Cost Calculations'!I222+'Manufacturing Cost Calculations'!I228+'Manufacturing Cost Calculations'!I233+'Manufacturing Cost Calculations'!I238</f>
        <v>66551.372436515652</v>
      </c>
      <c r="J37" s="140">
        <f>'Manufacturing Cost Calculations'!J222+'Manufacturing Cost Calculations'!J228+'Manufacturing Cost Calculations'!J233+'Manufacturing Cost Calculations'!J238</f>
        <v>77859.59222297321</v>
      </c>
      <c r="K37" s="140">
        <f>'Manufacturing Cost Calculations'!K222+'Manufacturing Cost Calculations'!K228+'Manufacturing Cost Calculations'!K233+'Manufacturing Cost Calculations'!K238</f>
        <v>87962.468487995066</v>
      </c>
      <c r="L37" s="140">
        <f>'Manufacturing Cost Calculations'!L222+'Manufacturing Cost Calculations'!L228+'Manufacturing Cost Calculations'!L233+'Manufacturing Cost Calculations'!L238</f>
        <v>109859.61650072699</v>
      </c>
      <c r="M37" s="140">
        <f>'Manufacturing Cost Calculations'!M222+'Manufacturing Cost Calculations'!M228+'Manufacturing Cost Calculations'!M233+'Manufacturing Cost Calculations'!M238</f>
        <v>128687.57296129412</v>
      </c>
    </row>
    <row r="38" spans="2:13">
      <c r="B38" s="853" t="s">
        <v>1389</v>
      </c>
      <c r="F38" s="4"/>
      <c r="G38" s="140">
        <f>'Manufacturing Cost Calculations'!G243+'Manufacturing Cost Calculations'!G249</f>
        <v>20449.352025372344</v>
      </c>
      <c r="H38" s="140">
        <f>'Manufacturing Cost Calculations'!H243+'Manufacturing Cost Calculations'!H249</f>
        <v>91452.282449111139</v>
      </c>
      <c r="I38" s="140">
        <f>'Manufacturing Cost Calculations'!I243+'Manufacturing Cost Calculations'!I249</f>
        <v>112005.71390660389</v>
      </c>
      <c r="J38" s="140">
        <f>'Manufacturing Cost Calculations'!J243+'Manufacturing Cost Calculations'!J249</f>
        <v>129333.05814950794</v>
      </c>
      <c r="K38" s="140">
        <f>'Manufacturing Cost Calculations'!K243+'Manufacturing Cost Calculations'!K249</f>
        <v>144598.75488011644</v>
      </c>
      <c r="L38" s="140">
        <f>'Manufacturing Cost Calculations'!L243+'Manufacturing Cost Calculations'!L249</f>
        <v>177096.58344903216</v>
      </c>
      <c r="M38" s="140">
        <f>'Manufacturing Cost Calculations'!M243+'Manufacturing Cost Calculations'!M249</f>
        <v>204493.52025372343</v>
      </c>
    </row>
    <row r="39" spans="2:13">
      <c r="B39" s="853" t="s">
        <v>1390</v>
      </c>
      <c r="F39" s="4"/>
      <c r="G39" s="140">
        <f>'Manufacturing Cost Calculations'!G254</f>
        <v>546.46878118689494</v>
      </c>
      <c r="H39" s="140">
        <f>'Manufacturing Cost Calculations'!H254</f>
        <v>4449.2453320339464</v>
      </c>
      <c r="I39" s="140">
        <f>'Manufacturing Cost Calculations'!I254</f>
        <v>5909.4931668195795</v>
      </c>
      <c r="J39" s="140">
        <f>'Manufacturing Cost Calculations'!J254</f>
        <v>7227.8203658427356</v>
      </c>
      <c r="K39" s="140">
        <f>'Manufacturing Cost Calculations'!K254</f>
        <v>8449.7597228689374</v>
      </c>
      <c r="L39" s="140">
        <f>'Manufacturing Cost Calculations'!L254</f>
        <v>11222.981341137764</v>
      </c>
      <c r="M39" s="140">
        <f>'Manufacturing Cost Calculations'!M254</f>
        <v>13726.675167069392</v>
      </c>
    </row>
    <row r="40" spans="2:13">
      <c r="B40" s="853" t="s">
        <v>1391</v>
      </c>
      <c r="F40" s="4"/>
      <c r="G40" s="140">
        <f ca="1">'Manufacturing Cost Calculations'!G127+'Manufacturing Cost Calculations'!G259</f>
        <v>13961.224570802291</v>
      </c>
      <c r="H40" s="140">
        <f ca="1">'Manufacturing Cost Calculations'!H127+'Manufacturing Cost Calculations'!H259</f>
        <v>57034.675741107145</v>
      </c>
      <c r="I40" s="140">
        <f ca="1">'Manufacturing Cost Calculations'!I127+'Manufacturing Cost Calculations'!I259</f>
        <v>69100.287043556193</v>
      </c>
      <c r="J40" s="140">
        <f ca="1">'Manufacturing Cost Calculations'!J127+'Manufacturing Cost Calculations'!J259</f>
        <v>79194.545836808917</v>
      </c>
      <c r="K40" s="140">
        <f ca="1">'Manufacturing Cost Calculations'!K127+'Manufacturing Cost Calculations'!K259</f>
        <v>88038.719335216461</v>
      </c>
      <c r="L40" s="140">
        <f ca="1">'Manufacturing Cost Calculations'!L127+'Manufacturing Cost Calculations'!L259</f>
        <v>106739.13696463108</v>
      </c>
      <c r="M40" s="140">
        <f ca="1">'Manufacturing Cost Calculations'!M127+'Manufacturing Cost Calculations'!M259</f>
        <v>122392.47722169131</v>
      </c>
    </row>
    <row r="41" spans="2:13">
      <c r="B41" s="853" t="s">
        <v>1392</v>
      </c>
      <c r="F41" s="4"/>
      <c r="G41" s="140">
        <f ca="1">'Manufacturing Cost Calculations'!G188</f>
        <v>7436.1280247182394</v>
      </c>
      <c r="H41" s="140">
        <f ca="1">'Manufacturing Cost Calculations'!H188</f>
        <v>33255.375505322438</v>
      </c>
      <c r="I41" s="140">
        <f ca="1">'Manufacturing Cost Calculations'!I188</f>
        <v>40729.350596345124</v>
      </c>
      <c r="J41" s="140">
        <f ca="1">'Manufacturing Cost Calculations'!J188</f>
        <v>47030.203061437016</v>
      </c>
      <c r="K41" s="140">
        <f ca="1">'Manufacturing Cost Calculations'!K188</f>
        <v>52581.365520495936</v>
      </c>
      <c r="L41" s="140">
        <f ca="1">'Manufacturing Cost Calculations'!L188</f>
        <v>64398.757751993937</v>
      </c>
      <c r="M41" s="140">
        <f ca="1">'Manufacturing Cost Calculations'!M188</f>
        <v>74361.280247182396</v>
      </c>
    </row>
    <row r="42" spans="2:13">
      <c r="B42" s="332" t="s">
        <v>1393</v>
      </c>
      <c r="C42" s="256"/>
      <c r="D42" s="256"/>
      <c r="E42" s="256"/>
      <c r="F42" s="255"/>
      <c r="G42" s="311">
        <f t="shared" ref="G42:L42" ca="1" si="1">SUM(G35:G41)</f>
        <v>96602.179877582064</v>
      </c>
      <c r="H42" s="311">
        <f t="shared" ca="1" si="1"/>
        <v>465386.15512809868</v>
      </c>
      <c r="I42" s="311">
        <f t="shared" ca="1" si="1"/>
        <v>578945.96304362861</v>
      </c>
      <c r="J42" s="311">
        <f t="shared" ca="1" si="1"/>
        <v>676530.23109460529</v>
      </c>
      <c r="K42" s="311">
        <f t="shared" ca="1" si="1"/>
        <v>763791.64474221901</v>
      </c>
      <c r="L42" s="311">
        <f t="shared" ca="1" si="1"/>
        <v>953234.27383632818</v>
      </c>
      <c r="M42" s="311">
        <f ca="1">SUM(M35:M41)</f>
        <v>1116502.8790810409</v>
      </c>
    </row>
    <row r="43" spans="2:13" ht="14">
      <c r="B43" s="164" t="s">
        <v>1281</v>
      </c>
      <c r="F43" s="4"/>
      <c r="G43" s="29"/>
      <c r="H43" s="29"/>
      <c r="I43" s="29"/>
      <c r="J43" s="29"/>
      <c r="K43" s="29"/>
      <c r="L43" s="29"/>
      <c r="M43" s="29"/>
    </row>
    <row r="44" spans="2:13">
      <c r="B44" s="853" t="s">
        <v>1394</v>
      </c>
      <c r="F44" s="4"/>
      <c r="G44" s="140">
        <f ca="1">'Manufacturing Cost Calculations'!G135+'Manufacturing Cost Calculations'!G140+'Manufacturing Cost Calculations'!G147+'Manufacturing Cost Calculations'!G153+'Manufacturing Cost Calculations'!G158+'Manufacturing Cost Calculations'!G164+'Manufacturing Cost Calculations'!G169+'Manufacturing Cost Calculations'!G174+'Manufacturing Cost Calculations'!G179+'Manufacturing Cost Calculations'!G184</f>
        <v>2.3169149029608689</v>
      </c>
      <c r="H44" s="140">
        <f ca="1">'Manufacturing Cost Calculations'!H135+'Manufacturing Cost Calculations'!H140+'Manufacturing Cost Calculations'!H147+'Manufacturing Cost Calculations'!H153+'Manufacturing Cost Calculations'!H158+'Manufacturing Cost Calculations'!H164+'Manufacturing Cost Calculations'!H169+'Manufacturing Cost Calculations'!H174+'Manufacturing Cost Calculations'!H179+'Manufacturing Cost Calculations'!H184</f>
        <v>18.229483020424659</v>
      </c>
      <c r="I44" s="140">
        <f ca="1">'Manufacturing Cost Calculations'!I135+'Manufacturing Cost Calculations'!I140+'Manufacturing Cost Calculations'!I147+'Manufacturing Cost Calculations'!I153+'Manufacturing Cost Calculations'!I158+'Manufacturing Cost Calculations'!I164+'Manufacturing Cost Calculations'!I169+'Manufacturing Cost Calculations'!I174+'Manufacturing Cost Calculations'!I179+'Manufacturing Cost Calculations'!I184</f>
        <v>24.189013221373838</v>
      </c>
      <c r="J44" s="140">
        <f ca="1">'Manufacturing Cost Calculations'!J135+'Manufacturing Cost Calculations'!J140+'Manufacturing Cost Calculations'!J147+'Manufacturing Cost Calculations'!J153+'Manufacturing Cost Calculations'!J158+'Manufacturing Cost Calculations'!J164+'Manufacturing Cost Calculations'!J169+'Manufacturing Cost Calculations'!J174+'Manufacturing Cost Calculations'!J179+'Manufacturing Cost Calculations'!J184</f>
        <v>29.580747847320769</v>
      </c>
      <c r="K44" s="140">
        <f ca="1">'Manufacturing Cost Calculations'!K135+'Manufacturing Cost Calculations'!K140+'Manufacturing Cost Calculations'!K147+'Manufacturing Cost Calculations'!K153+'Manufacturing Cost Calculations'!K158+'Manufacturing Cost Calculations'!K164+'Manufacturing Cost Calculations'!K169+'Manufacturing Cost Calculations'!K174+'Manufacturing Cost Calculations'!K179+'Manufacturing Cost Calculations'!K184</f>
        <v>34.588162515789335</v>
      </c>
      <c r="L44" s="140">
        <f ca="1">'Manufacturing Cost Calculations'!L135+'Manufacturing Cost Calculations'!L140+'Manufacturing Cost Calculations'!L147+'Manufacturing Cost Calculations'!L153+'Manufacturing Cost Calculations'!L158+'Manufacturing Cost Calculations'!L164+'Manufacturing Cost Calculations'!L169+'Manufacturing Cost Calculations'!L174+'Manufacturing Cost Calculations'!L179+'Manufacturing Cost Calculations'!L184</f>
        <v>45.987054303299942</v>
      </c>
      <c r="M44" s="140">
        <f ca="1">'Manufacturing Cost Calculations'!M135+'Manufacturing Cost Calculations'!M140+'Manufacturing Cost Calculations'!M147+'Manufacturing Cost Calculations'!M153+'Manufacturing Cost Calculations'!M158+'Manufacturing Cost Calculations'!M164+'Manufacturing Cost Calculations'!M169+'Manufacturing Cost Calculations'!M174+'Manufacturing Cost Calculations'!M179+'Manufacturing Cost Calculations'!M184</f>
        <v>56.317010592518166</v>
      </c>
    </row>
    <row r="45" spans="2:13">
      <c r="B45" s="853" t="s">
        <v>1439</v>
      </c>
      <c r="F45" s="4"/>
      <c r="G45" s="140">
        <f ca="1">'Manufacturing Cost Calculations'!G196+'Manufacturing Cost Calculations'!G201+'Manufacturing Cost Calculations'!G206+'Manufacturing Cost Calculations'!G211+'Manufacturing Cost Calculations'!G216</f>
        <v>2.9615823167107953</v>
      </c>
      <c r="H45" s="140">
        <f ca="1">'Manufacturing Cost Calculations'!H196+'Manufacturing Cost Calculations'!H201+'Manufacturing Cost Calculations'!H206+'Manufacturing Cost Calculations'!H211+'Manufacturing Cost Calculations'!H216</f>
        <v>20.081052867233844</v>
      </c>
      <c r="I45" s="140">
        <f ca="1">'Manufacturing Cost Calculations'!I196+'Manufacturing Cost Calculations'!I201+'Manufacturing Cost Calculations'!I206+'Manufacturing Cost Calculations'!I211+'Manufacturing Cost Calculations'!I216</f>
        <v>26.496324600599895</v>
      </c>
      <c r="J45" s="140">
        <f ca="1">'Manufacturing Cost Calculations'!J196+'Manufacturing Cost Calculations'!J201+'Manufacturing Cost Calculations'!J206+'Manufacturing Cost Calculations'!J211+'Manufacturing Cost Calculations'!J216</f>
        <v>32.324218786284028</v>
      </c>
      <c r="K45" s="140">
        <f ca="1">'Manufacturing Cost Calculations'!K196+'Manufacturing Cost Calculations'!K201+'Manufacturing Cost Calculations'!K206+'Manufacturing Cost Calculations'!K211+'Manufacturing Cost Calculations'!K216</f>
        <v>37.756638734614285</v>
      </c>
      <c r="L45" s="140">
        <f ca="1">'Manufacturing Cost Calculations'!L196+'Manufacturing Cost Calculations'!L201+'Manufacturing Cost Calculations'!L206+'Manufacturing Cost Calculations'!L211+'Manufacturing Cost Calculations'!L216</f>
        <v>50.18976072391294</v>
      </c>
      <c r="M45" s="140">
        <f ca="1">'Manufacturing Cost Calculations'!M196+'Manufacturing Cost Calculations'!M201+'Manufacturing Cost Calculations'!M206+'Manufacturing Cost Calculations'!M211+'Manufacturing Cost Calculations'!M216</f>
        <v>61.529408047341747</v>
      </c>
    </row>
    <row r="46" spans="2:13">
      <c r="B46" s="853" t="s">
        <v>1395</v>
      </c>
      <c r="F46" s="4"/>
      <c r="G46" s="140">
        <f ca="1">'Manufacturing Cost Calculations'!G223+'Manufacturing Cost Calculations'!G229+'Manufacturing Cost Calculations'!G234+'Manufacturing Cost Calculations'!G239</f>
        <v>4.3119802265528415</v>
      </c>
      <c r="H46" s="140">
        <f ca="1">'Manufacturing Cost Calculations'!H223+'Manufacturing Cost Calculations'!H229+'Manufacturing Cost Calculations'!H234+'Manufacturing Cost Calculations'!H239</f>
        <v>35.107326448080343</v>
      </c>
      <c r="I46" s="140">
        <f ca="1">'Manufacturing Cost Calculations'!I223+'Manufacturing Cost Calculations'!I229+'Manufacturing Cost Calculations'!I234+'Manufacturing Cost Calculations'!I239</f>
        <v>46.629594519435727</v>
      </c>
      <c r="J46" s="140">
        <f ca="1">'Manufacturing Cost Calculations'!J223+'Manufacturing Cost Calculations'!J229+'Manufacturing Cost Calculations'!J234+'Manufacturing Cost Calculations'!J239</f>
        <v>57.032020074227809</v>
      </c>
      <c r="K46" s="140">
        <f ca="1">'Manufacturing Cost Calculations'!K223+'Manufacturing Cost Calculations'!K229+'Manufacturing Cost Calculations'!K234+'Manufacturing Cost Calculations'!K239</f>
        <v>66.673885313262673</v>
      </c>
      <c r="L46" s="140">
        <f ca="1">'Manufacturing Cost Calculations'!L223+'Manufacturing Cost Calculations'!L229+'Manufacturing Cost Calculations'!L234+'Manufacturing Cost Calculations'!L239</f>
        <v>88.556337144915119</v>
      </c>
      <c r="M46" s="140">
        <f ca="1">'Manufacturing Cost Calculations'!M223+'Manufacturing Cost Calculations'!M229+'Manufacturing Cost Calculations'!M234+'Manufacturing Cost Calculations'!M239</f>
        <v>108.31204624015686</v>
      </c>
    </row>
    <row r="47" spans="2:13">
      <c r="B47" s="853" t="s">
        <v>1396</v>
      </c>
      <c r="F47" s="4"/>
      <c r="G47" s="140">
        <f>'Manufacturing Cost Calculations'!G244+'Manufacturing Cost Calculations'!G250</f>
        <v>1.5369434470881416</v>
      </c>
      <c r="H47" s="140">
        <f>'Manufacturing Cost Calculations'!H244+'Manufacturing Cost Calculations'!H250</f>
        <v>12.513502496345469</v>
      </c>
      <c r="I47" s="140">
        <f>'Manufacturing Cost Calculations'!I244+'Manufacturing Cost Calculations'!I250</f>
        <v>16.620449531680059</v>
      </c>
      <c r="J47" s="140">
        <f>'Manufacturing Cost Calculations'!J244+'Manufacturing Cost Calculations'!J250</f>
        <v>20.328244778932685</v>
      </c>
      <c r="K47" s="140">
        <f>'Manufacturing Cost Calculations'!K244+'Manufacturing Cost Calculations'!K250</f>
        <v>23.764949220568873</v>
      </c>
      <c r="L47" s="140">
        <f>'Manufacturing Cost Calculations'!L244+'Manufacturing Cost Calculations'!L250</f>
        <v>31.564635021949947</v>
      </c>
      <c r="M47" s="140">
        <f>'Manufacturing Cost Calculations'!M244+'Manufacturing Cost Calculations'!M250</f>
        <v>38.606273907382644</v>
      </c>
    </row>
    <row r="48" spans="2:13">
      <c r="B48" s="853" t="s">
        <v>1397</v>
      </c>
      <c r="F48" s="4"/>
      <c r="G48" s="140">
        <f>'Manufacturing Cost Calculations'!G255</f>
        <v>0.11384766274726979</v>
      </c>
      <c r="H48" s="140">
        <f>'Manufacturing Cost Calculations'!H255</f>
        <v>0.92692611084040555</v>
      </c>
      <c r="I48" s="140">
        <f>'Manufacturing Cost Calculations'!I255</f>
        <v>1.2311444097540791</v>
      </c>
      <c r="J48" s="140">
        <f>'Manufacturing Cost Calculations'!J255</f>
        <v>1.50579590955057</v>
      </c>
      <c r="K48" s="140">
        <f>'Manufacturing Cost Calculations'!K255</f>
        <v>1.7603666089310288</v>
      </c>
      <c r="L48" s="140">
        <f>'Manufacturing Cost Calculations'!L255</f>
        <v>2.338121112737034</v>
      </c>
      <c r="M48" s="140">
        <f>'Manufacturing Cost Calculations'!M255</f>
        <v>2.8597239931394567</v>
      </c>
    </row>
    <row r="49" spans="2:13">
      <c r="B49" s="853" t="s">
        <v>1398</v>
      </c>
      <c r="F49" s="4"/>
      <c r="G49" s="140">
        <f ca="1">'Manufacturing Cost Calculations'!G128+'Manufacturing Cost Calculations'!G260</f>
        <v>1.8242794036939256</v>
      </c>
      <c r="H49" s="140">
        <f ca="1">'Manufacturing Cost Calculations'!H128+'Manufacturing Cost Calculations'!H260</f>
        <v>13.407515999213686</v>
      </c>
      <c r="I49" s="140">
        <f ca="1">'Manufacturing Cost Calculations'!I128+'Manufacturing Cost Calculations'!I260</f>
        <v>17.589475776540734</v>
      </c>
      <c r="J49" s="140">
        <f ca="1">'Manufacturing Cost Calculations'!J128+'Manufacturing Cost Calculations'!J260</f>
        <v>21.330380592889661</v>
      </c>
      <c r="K49" s="140">
        <f ca="1">'Manufacturing Cost Calculations'!K128+'Manufacturing Cost Calculations'!K260</f>
        <v>24.774691186871429</v>
      </c>
      <c r="L49" s="140">
        <f ca="1">'Manufacturing Cost Calculations'!L128+'Manufacturing Cost Calculations'!L260</f>
        <v>32.527312234112053</v>
      </c>
      <c r="M49" s="140">
        <f ca="1">'Manufacturing Cost Calculations'!M128+'Manufacturing Cost Calculations'!M260</f>
        <v>39.466481476215456</v>
      </c>
    </row>
    <row r="50" spans="2:13">
      <c r="B50" s="853" t="s">
        <v>1462</v>
      </c>
      <c r="F50" s="4"/>
      <c r="G50" s="198">
        <f ca="1">'Manufacturing Cost Calculations'!G189</f>
        <v>0.28461915769831336</v>
      </c>
      <c r="H50" s="198">
        <f ca="1">'Manufacturing Cost Calculations'!H189</f>
        <v>2.3173152838598483</v>
      </c>
      <c r="I50" s="198">
        <f ca="1">'Manufacturing Cost Calculations'!I189</f>
        <v>3.0778610333622898</v>
      </c>
      <c r="J50" s="198">
        <f ca="1">'Manufacturing Cost Calculations'!J189</f>
        <v>3.7644897848561838</v>
      </c>
      <c r="K50" s="198">
        <f ca="1">'Manufacturing Cost Calculations'!K189</f>
        <v>4.4009165351635744</v>
      </c>
      <c r="L50" s="198">
        <f ca="1">'Manufacturing Cost Calculations'!L189</f>
        <v>5.8453027988913817</v>
      </c>
      <c r="M50" s="198">
        <f ca="1">'Manufacturing Cost Calculations'!M189</f>
        <v>7.1493100037007888</v>
      </c>
    </row>
    <row r="51" spans="2:13">
      <c r="B51" s="332" t="s">
        <v>1399</v>
      </c>
      <c r="F51" s="4"/>
      <c r="G51" s="186">
        <f t="shared" ref="G51:L51" ca="1" si="2">SUM(G44:G50)</f>
        <v>13.350167117452155</v>
      </c>
      <c r="H51" s="186">
        <f t="shared" ca="1" si="2"/>
        <v>102.58312222599827</v>
      </c>
      <c r="I51" s="186">
        <f t="shared" ca="1" si="2"/>
        <v>135.83386309274661</v>
      </c>
      <c r="J51" s="186">
        <f t="shared" ca="1" si="2"/>
        <v>165.86589777406169</v>
      </c>
      <c r="K51" s="186">
        <f t="shared" ca="1" si="2"/>
        <v>193.71961011520119</v>
      </c>
      <c r="L51" s="186">
        <f t="shared" ca="1" si="2"/>
        <v>257.00852333981845</v>
      </c>
      <c r="M51" s="186">
        <f ca="1">SUM(M44:M50)</f>
        <v>314.24025426045517</v>
      </c>
    </row>
    <row r="52" spans="2:13" ht="14">
      <c r="B52" s="164" t="s">
        <v>520</v>
      </c>
      <c r="F52" s="4"/>
      <c r="G52" s="186"/>
      <c r="H52" s="186"/>
      <c r="I52" s="186"/>
      <c r="J52" s="186"/>
      <c r="K52" s="186"/>
      <c r="L52" s="186"/>
      <c r="M52" s="186"/>
    </row>
    <row r="53" spans="2:13">
      <c r="B53" s="853" t="s">
        <v>1423</v>
      </c>
      <c r="F53" s="4"/>
      <c r="G53" s="140">
        <f ca="1">'Manufacturing Cost Calculations'!G136+'Manufacturing Cost Calculations'!G141+'Manufacturing Cost Calculations'!G148+'Manufacturing Cost Calculations'!G154+'Manufacturing Cost Calculations'!G159+'Manufacturing Cost Calculations'!G165+'Manufacturing Cost Calculations'!G170+'Manufacturing Cost Calculations'!G175+'Manufacturing Cost Calculations'!G180+'Manufacturing Cost Calculations'!G185</f>
        <v>363.78667061920351</v>
      </c>
      <c r="H53" s="140">
        <f ca="1">'Manufacturing Cost Calculations'!H136+'Manufacturing Cost Calculations'!H141+'Manufacturing Cost Calculations'!H148+'Manufacturing Cost Calculations'!H154+'Manufacturing Cost Calculations'!H159+'Manufacturing Cost Calculations'!H165+'Manufacturing Cost Calculations'!H170+'Manufacturing Cost Calculations'!H175+'Manufacturing Cost Calculations'!H180+'Manufacturing Cost Calculations'!H185</f>
        <v>2358.1020676774256</v>
      </c>
      <c r="I53" s="140">
        <f ca="1">'Manufacturing Cost Calculations'!I136+'Manufacturing Cost Calculations'!I141+'Manufacturing Cost Calculations'!I148+'Manufacturing Cost Calculations'!I154+'Manufacturing Cost Calculations'!I159+'Manufacturing Cost Calculations'!I165+'Manufacturing Cost Calculations'!I170+'Manufacturing Cost Calculations'!I175+'Manufacturing Cost Calculations'!I180+'Manufacturing Cost Calculations'!I185</f>
        <v>3046.531548581062</v>
      </c>
      <c r="J53" s="140">
        <f ca="1">'Manufacturing Cost Calculations'!J136+'Manufacturing Cost Calculations'!J141+'Manufacturing Cost Calculations'!J148+'Manufacturing Cost Calculations'!J154+'Manufacturing Cost Calculations'!J159+'Manufacturing Cost Calculations'!J165+'Manufacturing Cost Calculations'!J170+'Manufacturing Cost Calculations'!J175+'Manufacturing Cost Calculations'!J180+'Manufacturing Cost Calculations'!J185</f>
        <v>3655.6978719754702</v>
      </c>
      <c r="K53" s="140">
        <f ca="1">'Manufacturing Cost Calculations'!K136+'Manufacturing Cost Calculations'!K141+'Manufacturing Cost Calculations'!K148+'Manufacturing Cost Calculations'!K154+'Manufacturing Cost Calculations'!K159+'Manufacturing Cost Calculations'!K165+'Manufacturing Cost Calculations'!K170+'Manufacturing Cost Calculations'!K175+'Manufacturing Cost Calculations'!K180+'Manufacturing Cost Calculations'!K185</f>
        <v>4212.2668284364272</v>
      </c>
      <c r="L53" s="140">
        <f ca="1">'Manufacturing Cost Calculations'!L136+'Manufacturing Cost Calculations'!L141+'Manufacturing Cost Calculations'!L148+'Manufacturing Cost Calculations'!L154+'Manufacturing Cost Calculations'!L159+'Manufacturing Cost Calculations'!L165+'Manufacturing Cost Calculations'!L170+'Manufacturing Cost Calculations'!L175+'Manufacturing Cost Calculations'!L180+'Manufacturing Cost Calculations'!L185</f>
        <v>5453.4990099772112</v>
      </c>
      <c r="M53" s="140">
        <f ca="1">'Manufacturing Cost Calculations'!M136+'Manufacturing Cost Calculations'!M141+'Manufacturing Cost Calculations'!M148+'Manufacturing Cost Calculations'!M154+'Manufacturing Cost Calculations'!M159+'Manufacturing Cost Calculations'!M165+'Manufacturing Cost Calculations'!M170+'Manufacturing Cost Calculations'!M175+'Manufacturing Cost Calculations'!M180+'Manufacturing Cost Calculations'!M185</f>
        <v>6554.2009927617473</v>
      </c>
    </row>
    <row r="54" spans="2:13">
      <c r="B54" s="853" t="s">
        <v>1424</v>
      </c>
      <c r="F54" s="4"/>
      <c r="G54" s="140">
        <f ca="1">'Manufacturing Cost Calculations'!G197+'Manufacturing Cost Calculations'!G202+'Manufacturing Cost Calculations'!G207+'Manufacturing Cost Calculations'!G212+'Manufacturing Cost Calculations'!G217</f>
        <v>384.06642770914436</v>
      </c>
      <c r="H54" s="140">
        <f ca="1">'Manufacturing Cost Calculations'!H197+'Manufacturing Cost Calculations'!H202+'Manufacturing Cost Calculations'!H207+'Manufacturing Cost Calculations'!H212+'Manufacturing Cost Calculations'!H217</f>
        <v>2633.0911111095766</v>
      </c>
      <c r="I54" s="140">
        <f ca="1">'Manufacturing Cost Calculations'!I197+'Manufacturing Cost Calculations'!I202+'Manufacturing Cost Calculations'!I207+'Manufacturing Cost Calculations'!I212+'Manufacturing Cost Calculations'!I217</f>
        <v>3469.665048152513</v>
      </c>
      <c r="J54" s="140">
        <f ca="1">'Manufacturing Cost Calculations'!J197+'Manufacturing Cost Calculations'!J202+'Manufacturing Cost Calculations'!J207+'Manufacturing Cost Calculations'!J212+'Manufacturing Cost Calculations'!J217</f>
        <v>4227.4738459527071</v>
      </c>
      <c r="K54" s="140">
        <f ca="1">'Manufacturing Cost Calculations'!K197+'Manufacturing Cost Calculations'!K202+'Manufacturing Cost Calculations'!K207+'Manufacturing Cost Calculations'!K212+'Manufacturing Cost Calculations'!K217</f>
        <v>4932.3184192406352</v>
      </c>
      <c r="L54" s="140">
        <f ca="1">'Manufacturing Cost Calculations'!L197+'Manufacturing Cost Calculations'!L202+'Manufacturing Cost Calculations'!L207+'Manufacturing Cost Calculations'!L212+'Manufacturing Cost Calculations'!L217</f>
        <v>6540.9780004625445</v>
      </c>
      <c r="M54" s="140">
        <f ca="1">'Manufacturing Cost Calculations'!M197+'Manufacturing Cost Calculations'!M202+'Manufacturing Cost Calculations'!M207+'Manufacturing Cost Calculations'!M212+'Manufacturing Cost Calculations'!M217</f>
        <v>8003.8038509908438</v>
      </c>
    </row>
    <row r="55" spans="2:13">
      <c r="B55" s="853" t="s">
        <v>1425</v>
      </c>
      <c r="F55" s="4"/>
      <c r="G55" s="140">
        <f>'Manufacturing Cost Calculations'!G224+'Manufacturing Cost Calculations'!G230+'Manufacturing Cost Calculations'!G235+'Manufacturing Cost Calculations'!G240</f>
        <v>279.44865865630356</v>
      </c>
      <c r="H55" s="140">
        <f>'Manufacturing Cost Calculations'!H224+'Manufacturing Cost Calculations'!H230+'Manufacturing Cost Calculations'!H235+'Manufacturing Cost Calculations'!H240</f>
        <v>2051.2015640795989</v>
      </c>
      <c r="I55" s="140">
        <f>'Manufacturing Cost Calculations'!I224+'Manufacturing Cost Calculations'!I230+'Manufacturing Cost Calculations'!I235+'Manufacturing Cost Calculations'!I240</f>
        <v>2703.390381357789</v>
      </c>
      <c r="J55" s="140">
        <f>'Manufacturing Cost Calculations'!J224+'Manufacturing Cost Calculations'!J230+'Manufacturing Cost Calculations'!J235+'Manufacturing Cost Calculations'!J240</f>
        <v>3291.5397291927925</v>
      </c>
      <c r="K55" s="140">
        <f>'Manufacturing Cost Calculations'!K224+'Manufacturing Cost Calculations'!K230+'Manufacturing Cost Calculations'!K235+'Manufacturing Cost Calculations'!K240</f>
        <v>3836.6555980410976</v>
      </c>
      <c r="L55" s="140">
        <f>'Manufacturing Cost Calculations'!L224+'Manufacturing Cost Calculations'!L230+'Manufacturing Cost Calculations'!L235+'Manufacturing Cost Calculations'!L240</f>
        <v>5074.9395151722329</v>
      </c>
      <c r="M55" s="140">
        <f>'Manufacturing Cost Calculations'!M224+'Manufacturing Cost Calculations'!M230+'Manufacturing Cost Calculations'!M235+'Manufacturing Cost Calculations'!M240</f>
        <v>6195.1338876947175</v>
      </c>
    </row>
    <row r="56" spans="2:13">
      <c r="B56" s="853" t="s">
        <v>1426</v>
      </c>
      <c r="F56" s="4"/>
      <c r="G56" s="140">
        <f>'Manufacturing Cost Calculations'!G245+'Manufacturing Cost Calculations'!G251</f>
        <v>231.4584352753308</v>
      </c>
      <c r="H56" s="140">
        <f>'Manufacturing Cost Calculations'!H245+'Manufacturing Cost Calculations'!H251</f>
        <v>1396.6610130321712</v>
      </c>
      <c r="I56" s="140">
        <f>'Manufacturing Cost Calculations'!I245+'Manufacturing Cost Calculations'!I251</f>
        <v>1781.335675090068</v>
      </c>
      <c r="J56" s="140">
        <f>'Manufacturing Cost Calculations'!J245+'Manufacturing Cost Calculations'!J251</f>
        <v>2116.9422352520569</v>
      </c>
      <c r="K56" s="140">
        <f>'Manufacturing Cost Calculations'!K245+'Manufacturing Cost Calculations'!K251</f>
        <v>2420.2209470477305</v>
      </c>
      <c r="L56" s="140">
        <f>'Manufacturing Cost Calculations'!L245+'Manufacturing Cost Calculations'!L251</f>
        <v>3086.8090927924304</v>
      </c>
      <c r="M56" s="140">
        <f>'Manufacturing Cost Calculations'!M245+'Manufacturing Cost Calculations'!M251</f>
        <v>3668.3689840557299</v>
      </c>
    </row>
    <row r="57" spans="2:13">
      <c r="B57" s="853" t="s">
        <v>1427</v>
      </c>
      <c r="F57" s="4"/>
      <c r="G57" s="140">
        <f>'Manufacturing Cost Calculations'!G256</f>
        <v>85.725346398270702</v>
      </c>
      <c r="H57" s="140">
        <f>'Manufacturing Cost Calculations'!H256</f>
        <v>517.28185667858213</v>
      </c>
      <c r="I57" s="140">
        <f>'Manufacturing Cost Calculations'!I256</f>
        <v>659.7539537370626</v>
      </c>
      <c r="J57" s="140">
        <f>'Manufacturing Cost Calculations'!J256</f>
        <v>784.05267972298441</v>
      </c>
      <c r="K57" s="140">
        <f>'Manufacturing Cost Calculations'!K256</f>
        <v>896.37812853619687</v>
      </c>
      <c r="L57" s="140">
        <f>'Manufacturing Cost Calculations'!L256</f>
        <v>1143.2626269601597</v>
      </c>
      <c r="M57" s="140">
        <f>'Manufacturing Cost Calculations'!M256</f>
        <v>1358.6551792799007</v>
      </c>
    </row>
    <row r="58" spans="2:13">
      <c r="B58" s="853" t="s">
        <v>1428</v>
      </c>
      <c r="F58" s="4"/>
      <c r="G58" s="140">
        <f ca="1">'Manufacturing Cost Calculations'!G129+'Manufacturing Cost Calculations'!G261</f>
        <v>420.87247832918894</v>
      </c>
      <c r="H58" s="140">
        <f ca="1">'Manufacturing Cost Calculations'!H129+'Manufacturing Cost Calculations'!H261</f>
        <v>2216.9650756328674</v>
      </c>
      <c r="I58" s="140">
        <f ca="1">'Manufacturing Cost Calculations'!I129+'Manufacturing Cost Calculations'!I261</f>
        <v>2780.7557383645935</v>
      </c>
      <c r="J58" s="140">
        <f ca="1">'Manufacturing Cost Calculations'!J129+'Manufacturing Cost Calculations'!J261</f>
        <v>3266.5262336921505</v>
      </c>
      <c r="K58" s="140">
        <f ca="1">'Manufacturing Cost Calculations'!K129+'Manufacturing Cost Calculations'!K261</f>
        <v>3701.5388136232968</v>
      </c>
      <c r="L58" s="140">
        <f ca="1">'Manufacturing Cost Calculations'!L129+'Manufacturing Cost Calculations'!L261</f>
        <v>4647.0109565456205</v>
      </c>
      <c r="M58" s="140">
        <f ca="1">'Manufacturing Cost Calculations'!M129+'Manufacturing Cost Calculations'!M261</f>
        <v>5462.2290746686322</v>
      </c>
    </row>
    <row r="59" spans="2:13">
      <c r="B59" s="853" t="s">
        <v>1429</v>
      </c>
      <c r="F59" s="4"/>
      <c r="G59" s="198">
        <f ca="1">'Manufacturing Cost Calculations'!G190</f>
        <v>42.86267330629201</v>
      </c>
      <c r="H59" s="198">
        <f ca="1">'Manufacturing Cost Calculations'!H190</f>
        <v>258.64092898589325</v>
      </c>
      <c r="I59" s="198">
        <f ca="1">'Manufacturing Cost Calculations'!I190</f>
        <v>329.87697769322347</v>
      </c>
      <c r="J59" s="198">
        <f ca="1">'Manufacturing Cost Calculations'!J190</f>
        <v>392.02634084155773</v>
      </c>
      <c r="K59" s="198">
        <f ca="1">'Manufacturing Cost Calculations'!K190</f>
        <v>448.18906538857078</v>
      </c>
      <c r="L59" s="198">
        <f ca="1">'Manufacturing Cost Calculations'!L190</f>
        <v>571.63131490915771</v>
      </c>
      <c r="M59" s="198">
        <f ca="1">'Manufacturing Cost Calculations'!M190</f>
        <v>679.3275913382688</v>
      </c>
    </row>
    <row r="60" spans="2:13" ht="14" thickBot="1">
      <c r="B60" s="332" t="s">
        <v>1198</v>
      </c>
      <c r="F60" s="4"/>
      <c r="G60" s="199">
        <f t="shared" ref="G60:L60" ca="1" si="3">SUM(G53:G59)</f>
        <v>1808.2206902937339</v>
      </c>
      <c r="H60" s="199">
        <f t="shared" ca="1" si="3"/>
        <v>11431.943617196113</v>
      </c>
      <c r="I60" s="199">
        <f t="shared" ca="1" si="3"/>
        <v>14771.309322976311</v>
      </c>
      <c r="J60" s="199">
        <f t="shared" ca="1" si="3"/>
        <v>17734.258936629722</v>
      </c>
      <c r="K60" s="199">
        <f t="shared" ca="1" si="3"/>
        <v>20447.567800313955</v>
      </c>
      <c r="L60" s="199">
        <f t="shared" ca="1" si="3"/>
        <v>26518.130516819358</v>
      </c>
      <c r="M60" s="199">
        <f ca="1">SUM(M53:M59)</f>
        <v>31921.719560789839</v>
      </c>
    </row>
    <row r="61" spans="2:13" ht="17" thickBot="1">
      <c r="B61" s="1325" t="s">
        <v>519</v>
      </c>
      <c r="C61" s="1326"/>
      <c r="D61" s="1326"/>
      <c r="E61" s="1326"/>
      <c r="F61" s="1326"/>
      <c r="G61" s="1326"/>
      <c r="H61" s="1326"/>
      <c r="I61" s="1326"/>
      <c r="J61" s="1326"/>
      <c r="K61" s="1326"/>
      <c r="L61" s="1326"/>
      <c r="M61" s="1327"/>
    </row>
    <row r="63" spans="2:13">
      <c r="B63" s="38"/>
      <c r="C63" s="38"/>
      <c r="D63" s="38"/>
      <c r="E63" s="38"/>
      <c r="F63" s="38"/>
      <c r="G63" s="231" t="s">
        <v>0</v>
      </c>
      <c r="H63" s="231" t="s">
        <v>1</v>
      </c>
      <c r="I63" s="231" t="s">
        <v>2</v>
      </c>
      <c r="J63" s="231" t="s">
        <v>3</v>
      </c>
      <c r="K63" s="231" t="s">
        <v>4</v>
      </c>
      <c r="L63" s="231" t="s">
        <v>530</v>
      </c>
      <c r="M63" s="231" t="s">
        <v>531</v>
      </c>
    </row>
    <row r="64" spans="2:13" ht="14">
      <c r="B64" s="164" t="s">
        <v>1436</v>
      </c>
      <c r="C64" s="41"/>
      <c r="D64" s="41"/>
      <c r="E64" s="41"/>
      <c r="F64" s="41"/>
      <c r="G64" s="42"/>
      <c r="H64" s="42"/>
      <c r="I64" s="42"/>
      <c r="J64" s="42"/>
      <c r="K64" s="42"/>
      <c r="L64" s="42"/>
      <c r="M64" s="42"/>
    </row>
    <row r="65" spans="2:13">
      <c r="B65" s="853" t="s">
        <v>1430</v>
      </c>
      <c r="D65" s="6"/>
      <c r="G65" s="1208">
        <f ca="1">G35*'Cost Input'!$K$39*'Cost Input'!$F$66/'Battery Design'!G$205</f>
        <v>972.21452617582622</v>
      </c>
      <c r="H65" s="1208">
        <f ca="1">H35*'Cost Input'!$K$39*'Cost Input'!$F$66/'Battery Design'!H$205</f>
        <v>232.80026225267272</v>
      </c>
      <c r="I65" s="1208">
        <f ca="1">I35*'Cost Input'!$K$39*'Cost Input'!$F$66/'Battery Design'!I$205</f>
        <v>192.7866421853879</v>
      </c>
      <c r="J65" s="1208">
        <f ca="1">J35*'Cost Input'!$K$39*'Cost Input'!$F$66/'Battery Design'!J$205</f>
        <v>168.77492173016503</v>
      </c>
      <c r="K65" s="1208">
        <f ca="1">K35*'Cost Input'!$K$39*'Cost Input'!$F$66/'Battery Design'!K$205</f>
        <v>152.3004985219269</v>
      </c>
      <c r="L65" s="1208">
        <f ca="1">L35*'Cost Input'!$K$39*'Cost Input'!$F$66/'Battery Design'!L$205</f>
        <v>126.50675837340226</v>
      </c>
      <c r="M65" s="1208">
        <f ca="1">M35*'Cost Input'!$K$39*'Cost Input'!$F$66/'Battery Design'!M$205</f>
        <v>110.99653030550918</v>
      </c>
    </row>
    <row r="66" spans="2:13">
      <c r="B66" s="853" t="s">
        <v>1431</v>
      </c>
      <c r="D66" s="6"/>
      <c r="G66" s="1208">
        <f ca="1">G36*'Cost Input'!$K$39*'Cost Input'!$F$66/'Battery Design'!G$205</f>
        <v>1055.4095868161946</v>
      </c>
      <c r="H66" s="1208">
        <f ca="1">H36*'Cost Input'!$K$39*'Cost Input'!$F$66/'Battery Design'!H$205</f>
        <v>294.04171048565132</v>
      </c>
      <c r="I66" s="1208">
        <f ca="1">I36*'Cost Input'!$K$39*'Cost Input'!$F$66/'Battery Design'!I$205</f>
        <v>249.95757257780932</v>
      </c>
      <c r="J66" s="1208">
        <f ca="1">J36*'Cost Input'!$K$39*'Cost Input'!$F$66/'Battery Design'!J$205</f>
        <v>223.05173838620536</v>
      </c>
      <c r="K66" s="1208">
        <f ca="1">K36*'Cost Input'!$K$39*'Cost Input'!$F$66/'Battery Design'!K$205</f>
        <v>204.34703816672939</v>
      </c>
      <c r="L66" s="1208">
        <f ca="1">L36*'Cost Input'!$K$39*'Cost Input'!$F$66/'Battery Design'!L$205</f>
        <v>174.56716542776729</v>
      </c>
      <c r="M66" s="1208">
        <f ca="1">M36*'Cost Input'!$K$39*'Cost Input'!$F$66/'Battery Design'!M$205</f>
        <v>156.30270193871038</v>
      </c>
    </row>
    <row r="67" spans="2:13">
      <c r="B67" s="853" t="s">
        <v>1432</v>
      </c>
      <c r="D67" s="6"/>
      <c r="G67" s="1208">
        <f>G37*'Cost Input'!$K$39*'Cost Input'!$F$66/'Battery Design'!G$205</f>
        <v>501.87654716786238</v>
      </c>
      <c r="H67" s="1208">
        <f>H37*'Cost Input'!$K$39*'Cost Input'!$F$66/'Battery Design'!H$205</f>
        <v>124.54689276180761</v>
      </c>
      <c r="I67" s="1208">
        <f>I37*'Cost Input'!$K$39*'Cost Input'!$F$66/'Battery Design'!I$205</f>
        <v>103.51400468775627</v>
      </c>
      <c r="J67" s="1208">
        <f>J37*'Cost Input'!$K$39*'Cost Input'!$F$66/'Battery Design'!J$205</f>
        <v>90.827107307709241</v>
      </c>
      <c r="K67" s="1208">
        <f>K37*'Cost Input'!$K$39*'Cost Input'!$F$66/'Battery Design'!K$205</f>
        <v>82.090094091736361</v>
      </c>
      <c r="L67" s="1208">
        <f>L37*'Cost Input'!$K$39*'Cost Input'!$F$66/'Battery Design'!L$205</f>
        <v>68.350259002092201</v>
      </c>
      <c r="M67" s="1208">
        <f>M37*'Cost Input'!$K$39*'Cost Input'!$F$66/'Battery Design'!M$205</f>
        <v>60.048195295198958</v>
      </c>
    </row>
    <row r="68" spans="2:13">
      <c r="B68" s="853" t="s">
        <v>1433</v>
      </c>
      <c r="D68" s="6"/>
      <c r="G68" s="1208">
        <f>G38*'Cost Input'!$K$39*'Cost Input'!$F$66/'Battery Design'!G$205</f>
        <v>954.20766420792268</v>
      </c>
      <c r="H68" s="1208">
        <f>H38*'Cost Input'!$K$39*'Cost Input'!$F$66/'Battery Design'!H$205</f>
        <v>213.36732018202082</v>
      </c>
      <c r="I68" s="1208">
        <f>I38*'Cost Input'!$K$39*'Cost Input'!$F$66/'Battery Design'!I$205</f>
        <v>174.21368741033143</v>
      </c>
      <c r="J68" s="1208">
        <f>J38*'Cost Input'!$K$39*'Cost Input'!$F$66/'Battery Design'!J$205</f>
        <v>150.87347898430821</v>
      </c>
      <c r="K68" s="1208">
        <f>K38*'Cost Input'!$K$39*'Cost Input'!$F$66/'Battery Design'!K$205</f>
        <v>134.94534200431963</v>
      </c>
      <c r="L68" s="1208">
        <f>L38*'Cost Input'!$K$39*'Cost Input'!$F$66/'Battery Design'!L$205</f>
        <v>110.18241035864965</v>
      </c>
      <c r="M68" s="1208">
        <f>M38*'Cost Input'!$K$39*'Cost Input'!$F$66/'Battery Design'!M$205</f>
        <v>95.420766420792248</v>
      </c>
    </row>
    <row r="69" spans="2:13">
      <c r="B69" s="853" t="s">
        <v>1434</v>
      </c>
      <c r="D69" s="6"/>
      <c r="G69" s="1208">
        <f>G39*'Cost Input'!$K$39*'Cost Input'!$F$66/'Battery Design'!G$205</f>
        <v>25.499326267742848</v>
      </c>
      <c r="H69" s="1208">
        <f>H39*'Cost Input'!$K$39*'Cost Input'!$F$66/'Battery Design'!H$205</f>
        <v>10.380534284168382</v>
      </c>
      <c r="I69" s="1208">
        <f>I39*'Cost Input'!$K$39*'Cost Input'!$F$66/'Battery Design'!I$205</f>
        <v>9.191625671671158</v>
      </c>
      <c r="J69" s="1208">
        <f>J39*'Cost Input'!$K$39*'Cost Input'!$F$66/'Battery Design'!J$205</f>
        <v>8.4316138477738285</v>
      </c>
      <c r="K69" s="1208">
        <f>K39*'Cost Input'!$K$39*'Cost Input'!$F$66/'Battery Design'!K$205</f>
        <v>7.8856537637701933</v>
      </c>
      <c r="L69" s="1208">
        <f>L39*'Cost Input'!$K$39*'Cost Input'!$F$66/'Battery Design'!L$205</f>
        <v>6.9824900712022577</v>
      </c>
      <c r="M69" s="1208">
        <f>M39*'Cost Input'!$K$39*'Cost Input'!$F$66/'Battery Design'!M$205</f>
        <v>6.4051411664579101</v>
      </c>
    </row>
    <row r="70" spans="2:13">
      <c r="B70" s="853" t="s">
        <v>1435</v>
      </c>
      <c r="D70" s="6"/>
      <c r="G70" s="1208">
        <f ca="1">G40*'Cost Input'!$K$39*'Cost Input'!$F$66/'Battery Design'!G$205</f>
        <v>651.45866092277538</v>
      </c>
      <c r="H70" s="1208">
        <f ca="1">H40*'Cost Input'!$K$39*'Cost Input'!$F$66/'Battery Design'!H$205</f>
        <v>133.06760197157686</v>
      </c>
      <c r="I70" s="1208">
        <f ca="1">I40*'Cost Input'!$K$39*'Cost Input'!$F$66/'Battery Design'!I$205</f>
        <v>107.4785864675471</v>
      </c>
      <c r="J70" s="1208">
        <f ca="1">J40*'Cost Input'!$K$39*'Cost Input'!$F$66/'Battery Design'!J$205</f>
        <v>92.384397445929281</v>
      </c>
      <c r="K70" s="1208">
        <f ca="1">K40*'Cost Input'!$K$39*'Cost Input'!$F$66/'Battery Design'!K$205</f>
        <v>82.161254432397286</v>
      </c>
      <c r="L70" s="1208">
        <f ca="1">L40*'Cost Input'!$K$39*'Cost Input'!$F$66/'Battery Design'!L$205</f>
        <v>66.408821453914754</v>
      </c>
      <c r="M70" s="1208">
        <f ca="1">M40*'Cost Input'!$K$39*'Cost Input'!$F$66/'Battery Design'!M$205</f>
        <v>57.110777721185499</v>
      </c>
    </row>
    <row r="71" spans="2:13">
      <c r="B71" s="853" t="s">
        <v>372</v>
      </c>
      <c r="D71" s="6"/>
      <c r="G71" s="1208">
        <f ca="1">G41*'Cost Input'!$K$39*'Cost Input'!$F$66/'Battery Design'!G$205</f>
        <v>346.98460588940191</v>
      </c>
      <c r="H71" s="1208">
        <f ca="1">H41*'Cost Input'!$K$39*'Cost Input'!$F$66/'Battery Design'!H$205</f>
        <v>77.588116591467653</v>
      </c>
      <c r="I71" s="1208">
        <f ca="1">I41*'Cost Input'!$K$39*'Cost Input'!$F$66/'Battery Design'!I$205</f>
        <v>63.350431917555092</v>
      </c>
      <c r="J71" s="1208">
        <f ca="1">J41*'Cost Input'!$K$39*'Cost Input'!$F$66/'Battery Design'!J$205</f>
        <v>54.863083381319264</v>
      </c>
      <c r="K71" s="1208">
        <f ca="1">K41*'Cost Input'!$K$39*'Cost Input'!$F$66/'Battery Design'!K$205</f>
        <v>49.071033558347551</v>
      </c>
      <c r="L71" s="1208">
        <f ca="1">L41*'Cost Input'!$K$39*'Cost Input'!$F$66/'Battery Design'!L$205</f>
        <v>40.066331122980479</v>
      </c>
      <c r="M71" s="1208">
        <f ca="1">M41*'Cost Input'!$K$39*'Cost Input'!$F$66/'Battery Design'!M$205</f>
        <v>34.698460588940193</v>
      </c>
    </row>
    <row r="72" spans="2:13">
      <c r="B72" s="332" t="s">
        <v>1440</v>
      </c>
      <c r="D72" s="62"/>
      <c r="G72" s="1209">
        <f t="shared" ref="G72:L72" ca="1" si="4">SUM(G65:G71)</f>
        <v>4507.6509174477269</v>
      </c>
      <c r="H72" s="1209">
        <f t="shared" ca="1" si="4"/>
        <v>1085.7924385293654</v>
      </c>
      <c r="I72" s="1209">
        <f t="shared" ca="1" si="4"/>
        <v>900.49255091805821</v>
      </c>
      <c r="J72" s="1209">
        <f t="shared" ca="1" si="4"/>
        <v>789.20634108341017</v>
      </c>
      <c r="K72" s="1209">
        <f t="shared" ca="1" si="4"/>
        <v>712.80091453922728</v>
      </c>
      <c r="L72" s="1209">
        <f t="shared" ca="1" si="4"/>
        <v>593.06423581000888</v>
      </c>
      <c r="M72" s="1209">
        <f ca="1">SUM(M65:M71)</f>
        <v>520.98257343679438</v>
      </c>
    </row>
    <row r="73" spans="2:13" ht="14">
      <c r="B73" s="164" t="s">
        <v>1437</v>
      </c>
    </row>
    <row r="74" spans="2:13">
      <c r="B74" s="853" t="s">
        <v>1430</v>
      </c>
      <c r="F74" s="140"/>
      <c r="G74" s="30">
        <f ca="1">G44*'Cost Input'!$F$67*100000/'Battery Design'!G$205</f>
        <v>898.12889298375023</v>
      </c>
      <c r="H74" s="30">
        <f ca="1">H44*'Cost Input'!$F$67*100000/'Battery Design'!H$205</f>
        <v>353.32383990187037</v>
      </c>
      <c r="I74" s="30">
        <f ca="1">I44*'Cost Input'!$F$67*100000/'Battery Design'!I$205</f>
        <v>312.55430283777815</v>
      </c>
      <c r="J74" s="30">
        <f ca="1">J44*'Cost Input'!$F$67*100000/'Battery Design'!J$205</f>
        <v>286.66702738838524</v>
      </c>
      <c r="K74" s="30">
        <f ca="1">K44*'Cost Input'!$F$67*100000/'Battery Design'!K$205</f>
        <v>268.15510635241122</v>
      </c>
      <c r="L74" s="30">
        <f ca="1">L44*'Cost Input'!$F$67*100000/'Battery Design'!L$205</f>
        <v>237.68562306841557</v>
      </c>
      <c r="M74" s="30">
        <f ca="1">M44*'Cost Input'!$F$67*100000/'Battery Design'!M$205</f>
        <v>218.30725986083715</v>
      </c>
    </row>
    <row r="75" spans="2:13">
      <c r="B75" s="853" t="s">
        <v>1431</v>
      </c>
      <c r="G75" s="30">
        <f ca="1">G45*'Cost Input'!$F$67*100000/'Battery Design'!G$205</f>
        <v>1148.0277692497712</v>
      </c>
      <c r="H75" s="30">
        <f ca="1">H45*'Cost Input'!$F$67*100000/'Battery Design'!H$205</f>
        <v>389.21096667272587</v>
      </c>
      <c r="I75" s="30">
        <f ca="1">I45*'Cost Input'!$F$67*100000/'Battery Design'!I$205</f>
        <v>342.36784227255106</v>
      </c>
      <c r="J75" s="30">
        <f ca="1">J45*'Cost Input'!$F$67*100000/'Battery Design'!J$205</f>
        <v>313.25400425787814</v>
      </c>
      <c r="K75" s="30">
        <f ca="1">K45*'Cost Input'!$F$67*100000/'Battery Design'!K$205</f>
        <v>292.7196687817173</v>
      </c>
      <c r="L75" s="30">
        <f ca="1">L45*'Cost Input'!$F$67*100000/'Battery Design'!L$205</f>
        <v>259.40745129356782</v>
      </c>
      <c r="M75" s="30">
        <f ca="1">M45*'Cost Input'!$F$67*100000/'Battery Design'!M$205</f>
        <v>238.51259735471527</v>
      </c>
    </row>
    <row r="76" spans="2:13">
      <c r="B76" s="853" t="s">
        <v>1432</v>
      </c>
      <c r="G76" s="30">
        <f ca="1">G46*'Cost Input'!$F$67*100000/'Battery Design'!G$205</f>
        <v>1671.4960150209413</v>
      </c>
      <c r="H76" s="30">
        <f ca="1">H46*'Cost Input'!$F$67*100000/'Battery Design'!H$205</f>
        <v>680.45020121669234</v>
      </c>
      <c r="I76" s="30">
        <f ca="1">I46*'Cost Input'!$F$67*100000/'Battery Design'!I$205</f>
        <v>602.51653398380142</v>
      </c>
      <c r="J76" s="30">
        <f ca="1">J46*'Cost Input'!$F$67*100000/'Battery Design'!J$205</f>
        <v>552.69730653934107</v>
      </c>
      <c r="K76" s="30">
        <f ca="1">K46*'Cost Input'!$F$67*100000/'Battery Design'!K$205</f>
        <v>516.90929805666224</v>
      </c>
      <c r="L76" s="30">
        <f ca="1">L46*'Cost Input'!$F$67*100000/'Battery Design'!L$205</f>
        <v>457.70638041139813</v>
      </c>
      <c r="M76" s="30">
        <f ca="1">M46*'Cost Input'!$F$67*100000/'Battery Design'!M$205</f>
        <v>419.86081604534348</v>
      </c>
    </row>
    <row r="77" spans="2:13">
      <c r="B77" s="853" t="s">
        <v>1433</v>
      </c>
      <c r="G77" s="30">
        <f>G47*'Cost Input'!$F$67*100000/'Battery Design'!G$205</f>
        <v>595.78075782924657</v>
      </c>
      <c r="H77" s="30">
        <f>H47*'Cost Input'!$F$67*100000/'Battery Design'!H$205</f>
        <v>242.53670538416762</v>
      </c>
      <c r="I77" s="30">
        <f>I47*'Cost Input'!$F$67*100000/'Battery Design'!I$205</f>
        <v>214.75836854868169</v>
      </c>
      <c r="J77" s="30">
        <f>J47*'Cost Input'!$F$67*100000/'Battery Design'!J$205</f>
        <v>197.00102015263644</v>
      </c>
      <c r="K77" s="30">
        <f>K47*'Cost Input'!$F$67*100000/'Battery Design'!K$205</f>
        <v>184.24489831722613</v>
      </c>
      <c r="L77" s="30">
        <f>L47*'Cost Input'!$F$67*100000/'Battery Design'!L$205</f>
        <v>163.14286826544884</v>
      </c>
      <c r="M77" s="30">
        <f>M47*'Cost Input'!$F$67*100000/'Battery Design'!M$205</f>
        <v>149.6533601745779</v>
      </c>
    </row>
    <row r="78" spans="2:13">
      <c r="B78" s="853" t="s">
        <v>1434</v>
      </c>
      <c r="G78" s="30">
        <f>G48*'Cost Input'!$F$67*100000/'Battery Design'!G$205</f>
        <v>44.13190798735161</v>
      </c>
      <c r="H78" s="30">
        <f>H48*'Cost Input'!$F$67*100000/'Battery Design'!H$205</f>
        <v>17.965681880308718</v>
      </c>
      <c r="I78" s="30">
        <f>I48*'Cost Input'!$F$67*100000/'Battery Design'!I$205</f>
        <v>15.908027299902354</v>
      </c>
      <c r="J78" s="30">
        <f>J48*'Cost Input'!$F$67*100000/'Battery Design'!J$205</f>
        <v>14.592668159454554</v>
      </c>
      <c r="K78" s="30">
        <f>K48*'Cost Input'!$F$67*100000/'Battery Design'!K$205</f>
        <v>13.647770245720464</v>
      </c>
      <c r="L78" s="30">
        <f>L48*'Cost Input'!$F$67*100000/'Battery Design'!L$205</f>
        <v>12.084656908551771</v>
      </c>
      <c r="M78" s="30">
        <f>M48*'Cost Input'!$F$67*100000/'Battery Design'!M$205</f>
        <v>11.085434087005776</v>
      </c>
    </row>
    <row r="79" spans="2:13">
      <c r="B79" s="853" t="s">
        <v>1435</v>
      </c>
      <c r="G79" s="30">
        <f ca="1">G49*'Cost Input'!$F$67*100000/'Battery Design'!G$205</f>
        <v>707.16366804791244</v>
      </c>
      <c r="H79" s="30">
        <f ca="1">H49*'Cost Input'!$F$67*100000/'Battery Design'!H$205</f>
        <v>259.86447509675941</v>
      </c>
      <c r="I79" s="30">
        <f ca="1">I49*'Cost Input'!$F$67*100000/'Battery Design'!I$205</f>
        <v>227.27947966727476</v>
      </c>
      <c r="J79" s="30">
        <f ca="1">J49*'Cost Input'!$F$67*100000/'Battery Design'!J$205</f>
        <v>206.71271832569346</v>
      </c>
      <c r="K79" s="30">
        <f ca="1">K49*'Cost Input'!$F$67*100000/'Battery Design'!K$205</f>
        <v>192.07322583357657</v>
      </c>
      <c r="L79" s="30">
        <f ca="1">L49*'Cost Input'!$F$67*100000/'Battery Design'!L$205</f>
        <v>168.11849752574909</v>
      </c>
      <c r="M79" s="30">
        <f ca="1">M49*'Cost Input'!$F$67*100000/'Battery Design'!M$205</f>
        <v>152.98786879440141</v>
      </c>
    </row>
    <row r="80" spans="2:13">
      <c r="B80" s="853" t="s">
        <v>372</v>
      </c>
      <c r="G80" s="30">
        <f ca="1">G50*'Cost Input'!$F$67*100000/'Battery Design'!G$205</f>
        <v>110.32977029017405</v>
      </c>
      <c r="H80" s="30">
        <f ca="1">H50*'Cost Input'!$F$67*100000/'Battery Design'!H$205</f>
        <v>44.914204831771521</v>
      </c>
      <c r="I80" s="30">
        <f ca="1">I50*'Cost Input'!$F$67*100000/'Battery Design'!I$205</f>
        <v>39.770068365751889</v>
      </c>
      <c r="J80" s="30">
        <f ca="1">J50*'Cost Input'!$F$67*100000/'Battery Design'!J$205</f>
        <v>36.481670505041237</v>
      </c>
      <c r="K80" s="30">
        <f ca="1">K50*'Cost Input'!$F$67*100000/'Battery Design'!K$205</f>
        <v>34.119425713816121</v>
      </c>
      <c r="L80" s="30">
        <f ca="1">L50*'Cost Input'!$F$67*100000/'Battery Design'!L$205</f>
        <v>30.211642359496697</v>
      </c>
      <c r="M80" s="30">
        <f ca="1">M50*'Cost Input'!$F$67*100000/'Battery Design'!M$205</f>
        <v>27.713585298345702</v>
      </c>
    </row>
    <row r="81" spans="2:13">
      <c r="B81" s="332" t="s">
        <v>12</v>
      </c>
      <c r="G81" s="30">
        <f t="shared" ref="G81:L81" ca="1" si="5">SUM(G74:G80)</f>
        <v>5175.0587814091468</v>
      </c>
      <c r="H81" s="30">
        <f t="shared" ca="1" si="5"/>
        <v>1988.2660749842958</v>
      </c>
      <c r="I81" s="30">
        <f t="shared" ca="1" si="5"/>
        <v>1755.1546229757414</v>
      </c>
      <c r="J81" s="30">
        <f t="shared" ca="1" si="5"/>
        <v>1607.4064153284303</v>
      </c>
      <c r="K81" s="30">
        <f t="shared" ca="1" si="5"/>
        <v>1501.8693933011302</v>
      </c>
      <c r="L81" s="30">
        <f t="shared" ca="1" si="5"/>
        <v>1328.3571198326279</v>
      </c>
      <c r="M81" s="30">
        <f ca="1">SUM(M74:M80)</f>
        <v>1218.1209216152267</v>
      </c>
    </row>
    <row r="82" spans="2:13" ht="14">
      <c r="B82" s="164" t="s">
        <v>1438</v>
      </c>
    </row>
    <row r="83" spans="2:13">
      <c r="B83" s="853" t="s">
        <v>1430</v>
      </c>
      <c r="F83" s="140"/>
      <c r="G83" s="30">
        <f ca="1">G53*'Cost Input'!$K$32/1000000*'Cost Input'!$F$68*100000/'Battery Design'!G$205</f>
        <v>167.25310453720141</v>
      </c>
      <c r="H83" s="30">
        <f ca="1">H53*'Cost Input'!$K$32/1000000*'Cost Input'!$F$68*100000/'Battery Design'!H$205</f>
        <v>54.20757871135477</v>
      </c>
      <c r="I83" s="30">
        <f ca="1">I53*'Cost Input'!$K$32/1000000*'Cost Input'!$F$68*100000/'Battery Design'!I$205</f>
        <v>46.688705288314189</v>
      </c>
      <c r="J83" s="30">
        <f ca="1">J53*'Cost Input'!$K$32/1000000*'Cost Input'!$F$68*100000/'Battery Design'!J$205</f>
        <v>42.018225770698585</v>
      </c>
      <c r="K83" s="30">
        <f ca="1">K53*'Cost Input'!$K$32/1000000*'Cost Input'!$F$68*100000/'Battery Design'!K$205</f>
        <v>38.732298959492113</v>
      </c>
      <c r="L83" s="30">
        <f ca="1">L53*'Cost Input'!$K$32/1000000*'Cost Input'!$F$68*100000/'Battery Design'!L$205</f>
        <v>33.430385211080896</v>
      </c>
      <c r="M83" s="30">
        <f ca="1">M53*'Cost Input'!$K$32/1000000*'Cost Input'!$F$68*100000/'Battery Design'!M$205</f>
        <v>30.133332316281507</v>
      </c>
    </row>
    <row r="84" spans="2:13">
      <c r="B84" s="853" t="s">
        <v>1431</v>
      </c>
      <c r="F84" s="140"/>
      <c r="G84" s="30">
        <f ca="1">G54*'Cost Input'!$K$32/1000000*'Cost Input'!$F$68*100000/'Battery Design'!G$205</f>
        <v>176.57684453784427</v>
      </c>
      <c r="H84" s="30">
        <f ca="1">H54*'Cost Input'!$K$32/1000000*'Cost Input'!$F$68*100000/'Battery Design'!H$205</f>
        <v>60.528971843964328</v>
      </c>
      <c r="I84" s="30">
        <f ca="1">I54*'Cost Input'!$K$32/1000000*'Cost Input'!$F$68*100000/'Battery Design'!I$205</f>
        <v>53.173310795946556</v>
      </c>
      <c r="J84" s="30">
        <f ca="1">J54*'Cost Input'!$K$32/1000000*'Cost Input'!$F$68*100000/'Battery Design'!J$205</f>
        <v>48.5901616379955</v>
      </c>
      <c r="K84" s="30">
        <f ca="1">K54*'Cost Input'!$K$32/1000000*'Cost Input'!$F$68*100000/'Battery Design'!K$205</f>
        <v>45.353259743127659</v>
      </c>
      <c r="L84" s="30">
        <f ca="1">L54*'Cost Input'!$K$32/1000000*'Cost Input'!$F$68*100000/'Battery Design'!L$205</f>
        <v>40.096718421075174</v>
      </c>
      <c r="M84" s="30">
        <f ca="1">M54*'Cost Input'!$K$32/1000000*'Cost Input'!$F$68*100000/'Battery Design'!M$205</f>
        <v>36.79796843316123</v>
      </c>
    </row>
    <row r="85" spans="2:13">
      <c r="B85" s="853" t="s">
        <v>1432</v>
      </c>
      <c r="F85" s="140"/>
      <c r="G85" s="30">
        <f>G55*'Cost Input'!$K$32/1000000*'Cost Input'!$F$68*100000/'Battery Design'!G$205</f>
        <v>128.47819750918669</v>
      </c>
      <c r="H85" s="30">
        <f>H55*'Cost Input'!$K$32/1000000*'Cost Input'!$F$68*100000/'Battery Design'!H$205</f>
        <v>47.152611314748697</v>
      </c>
      <c r="I85" s="30">
        <f>I55*'Cost Input'!$K$32/1000000*'Cost Input'!$F$68*100000/'Battery Design'!I$205</f>
        <v>41.429998272384125</v>
      </c>
      <c r="J85" s="30">
        <f>J55*'Cost Input'!$K$32/1000000*'Cost Input'!$F$68*100000/'Battery Design'!J$205</f>
        <v>37.832628493368794</v>
      </c>
      <c r="K85" s="30">
        <f>K55*'Cost Input'!$K$32/1000000*'Cost Input'!$F$68*100000/'Battery Design'!K$205</f>
        <v>35.27850862265943</v>
      </c>
      <c r="L85" s="30">
        <f>L55*'Cost Input'!$K$32/1000000*'Cost Input'!$F$68*100000/'Battery Design'!L$205</f>
        <v>31.109785223166799</v>
      </c>
      <c r="M85" s="30">
        <f>M55*'Cost Input'!$K$32/1000000*'Cost Input'!$F$68*100000/'Battery Design'!M$205</f>
        <v>28.482499756709544</v>
      </c>
    </row>
    <row r="86" spans="2:13">
      <c r="B86" s="853" t="s">
        <v>1433</v>
      </c>
      <c r="F86" s="140"/>
      <c r="G86" s="30">
        <f>G56*'Cost Input'!$K$32/1000000*'Cost Input'!$F$68*100000/'Battery Design'!G$205</f>
        <v>106.41440436844428</v>
      </c>
      <c r="H86" s="30">
        <f>H56*'Cost Input'!$K$32/1000000*'Cost Input'!$F$68*100000/'Battery Design'!H$205</f>
        <v>32.106164035380736</v>
      </c>
      <c r="I86" s="30">
        <f>I56*'Cost Input'!$K$32/1000000*'Cost Input'!$F$68*100000/'Battery Design'!I$205</f>
        <v>27.299325487890133</v>
      </c>
      <c r="J86" s="30">
        <f>J56*'Cost Input'!$K$32/1000000*'Cost Input'!$F$68*100000/'Battery Design'!J$205</f>
        <v>24.33192235776346</v>
      </c>
      <c r="K86" s="30">
        <f>K56*'Cost Input'!$K$32/1000000*'Cost Input'!$F$68*100000/'Battery Design'!K$205</f>
        <v>22.254222034617381</v>
      </c>
      <c r="L86" s="30">
        <f>L56*'Cost Input'!$K$32/1000000*'Cost Input'!$F$68*100000/'Battery Design'!L$205</f>
        <v>18.9223866835449</v>
      </c>
      <c r="M86" s="30">
        <f>M56*'Cost Input'!$K$32/1000000*'Cost Input'!$F$68*100000/'Battery Design'!M$205</f>
        <v>16.865546506335154</v>
      </c>
    </row>
    <row r="87" spans="2:13">
      <c r="B87" s="853" t="s">
        <v>1434</v>
      </c>
      <c r="F87" s="140"/>
      <c r="G87" s="30">
        <f>G57*'Cost Input'!$K$32/1000000*'Cost Input'!$F$68*100000/'Battery Design'!G$205</f>
        <v>39.412742358683083</v>
      </c>
      <c r="H87" s="30">
        <f>H57*'Cost Input'!$K$32/1000000*'Cost Input'!$F$68*100000/'Battery Design'!H$205</f>
        <v>11.891171864955835</v>
      </c>
      <c r="I87" s="30">
        <f>I57*'Cost Input'!$K$32/1000000*'Cost Input'!$F$68*100000/'Battery Design'!I$205</f>
        <v>10.110861291811167</v>
      </c>
      <c r="J87" s="30">
        <f>J57*'Cost Input'!$K$32/1000000*'Cost Input'!$F$68*100000/'Battery Design'!J$205</f>
        <v>9.0118230954679532</v>
      </c>
      <c r="K87" s="30">
        <f>K57*'Cost Input'!$K$32/1000000*'Cost Input'!$F$68*100000/'Battery Design'!K$205</f>
        <v>8.2423044572657016</v>
      </c>
      <c r="L87" s="30">
        <f>L57*'Cost Input'!$K$32/1000000*'Cost Input'!$F$68*100000/'Battery Design'!L$205</f>
        <v>7.0082913642758893</v>
      </c>
      <c r="M87" s="30">
        <f>M57*'Cost Input'!$K$32/1000000*'Cost Input'!$F$68*100000/'Battery Design'!M$205</f>
        <v>6.246498706050061</v>
      </c>
    </row>
    <row r="88" spans="2:13">
      <c r="B88" s="853" t="s">
        <v>1435</v>
      </c>
      <c r="F88" s="140"/>
      <c r="G88" s="30">
        <f ca="1">G58*'Cost Input'!$K$32/1000000*'Cost Input'!$F$68*100000/'Battery Design'!G$205</f>
        <v>193.49864714671338</v>
      </c>
      <c r="H88" s="30">
        <f ca="1">H58*'Cost Input'!$K$32/1000000*'Cost Input'!$F$68*100000/'Battery Design'!H$205</f>
        <v>50.963149765632899</v>
      </c>
      <c r="I88" s="30">
        <f ca="1">I58*'Cost Input'!$K$32/1000000*'Cost Input'!$F$68*100000/'Battery Design'!I$205</f>
        <v>42.615637841584793</v>
      </c>
      <c r="J88" s="30">
        <f ca="1">J58*'Cost Input'!$K$32/1000000*'Cost Input'!$F$68*100000/'Battery Design'!J$205</f>
        <v>37.545125877433968</v>
      </c>
      <c r="K88" s="30">
        <f ca="1">K58*'Cost Input'!$K$32/1000000*'Cost Input'!$F$68*100000/'Battery Design'!K$205</f>
        <v>34.03609357592363</v>
      </c>
      <c r="L88" s="30">
        <f ca="1">L58*'Cost Input'!$K$32/1000000*'Cost Input'!$F$68*100000/'Battery Design'!L$205</f>
        <v>28.48654892450099</v>
      </c>
      <c r="M88" s="30">
        <f ca="1">M58*'Cost Input'!$K$32/1000000*'Cost Input'!$F$68*100000/'Battery Design'!M$205</f>
        <v>25.112925904533355</v>
      </c>
    </row>
    <row r="89" spans="2:13">
      <c r="B89" s="853" t="s">
        <v>372</v>
      </c>
      <c r="F89" s="199"/>
      <c r="G89" s="30">
        <f ca="1">G59*'Cost Input'!$K$32/1000000*'Cost Input'!$F$68*100000/'Battery Design'!G$205</f>
        <v>19.706371228607463</v>
      </c>
      <c r="H89" s="30">
        <f ca="1">H59*'Cost Input'!$K$32/1000000*'Cost Input'!$F$68*100000/'Battery Design'!H$205</f>
        <v>5.9455859473418791</v>
      </c>
      <c r="I89" s="30">
        <f ca="1">I59*'Cost Input'!$K$32/1000000*'Cost Input'!$F$68*100000/'Battery Design'!I$205</f>
        <v>5.0554306585441555</v>
      </c>
      <c r="J89" s="30">
        <f ca="1">J59*'Cost Input'!$K$32/1000000*'Cost Input'!$F$68*100000/'Battery Design'!J$205</f>
        <v>4.5059115589987524</v>
      </c>
      <c r="K89" s="30">
        <f ca="1">K59*'Cost Input'!$K$32/1000000*'Cost Input'!$F$68*100000/'Battery Design'!K$205</f>
        <v>4.1211522389357285</v>
      </c>
      <c r="L89" s="30">
        <f ca="1">L59*'Cost Input'!$K$32/1000000*'Cost Input'!$F$68*100000/'Battery Design'!L$205</f>
        <v>3.5041456908983069</v>
      </c>
      <c r="M89" s="30">
        <f ca="1">M59*'Cost Input'!$K$32/1000000*'Cost Input'!$F$68*100000/'Battery Design'!M$205</f>
        <v>3.1232493608331504</v>
      </c>
    </row>
    <row r="90" spans="2:13">
      <c r="B90" s="332" t="s">
        <v>1441</v>
      </c>
      <c r="G90" s="30">
        <f t="shared" ref="G90:L90" ca="1" si="6">SUM(G83:G89)</f>
        <v>831.34031168668059</v>
      </c>
      <c r="H90" s="30">
        <f t="shared" ca="1" si="6"/>
        <v>262.79523348337915</v>
      </c>
      <c r="I90" s="30">
        <f t="shared" ca="1" si="6"/>
        <v>226.37326963647516</v>
      </c>
      <c r="J90" s="30">
        <f t="shared" ca="1" si="6"/>
        <v>203.835798791727</v>
      </c>
      <c r="K90" s="30">
        <f t="shared" ca="1" si="6"/>
        <v>188.01783963202166</v>
      </c>
      <c r="L90" s="30">
        <f t="shared" ca="1" si="6"/>
        <v>162.55826151854293</v>
      </c>
      <c r="M90" s="30">
        <f ca="1">SUM(M83:M89)</f>
        <v>146.76202098390399</v>
      </c>
    </row>
    <row r="91" spans="2:13" ht="14">
      <c r="B91" s="233" t="s">
        <v>534</v>
      </c>
      <c r="G91" s="30"/>
      <c r="H91" s="30"/>
      <c r="I91" s="30"/>
      <c r="J91" s="30"/>
      <c r="K91" s="30"/>
      <c r="L91" s="30"/>
      <c r="M91" s="30"/>
    </row>
    <row r="92" spans="2:13">
      <c r="B92" s="96" t="s">
        <v>179</v>
      </c>
      <c r="G92" s="63">
        <f t="shared" ref="G92:M93" ca="1" si="7">G98</f>
        <v>12923.069499851279</v>
      </c>
      <c r="H92" s="63">
        <f t="shared" ca="1" si="7"/>
        <v>12259.677132414276</v>
      </c>
      <c r="I92" s="63">
        <f t="shared" ca="1" si="7"/>
        <v>12184.207560786821</v>
      </c>
      <c r="J92" s="63">
        <f t="shared" ca="1" si="7"/>
        <v>12132.486797760081</v>
      </c>
      <c r="K92" s="63">
        <f t="shared" ca="1" si="7"/>
        <v>12093.381278049403</v>
      </c>
      <c r="L92" s="63">
        <f t="shared" ca="1" si="7"/>
        <v>12024.51955521132</v>
      </c>
      <c r="M92" s="63">
        <f t="shared" ca="1" si="7"/>
        <v>11977.327279281853</v>
      </c>
    </row>
    <row r="93" spans="2:13">
      <c r="B93" s="96" t="s">
        <v>1442</v>
      </c>
      <c r="G93" s="63">
        <f t="shared" ca="1" si="7"/>
        <v>2877.6130714107785</v>
      </c>
      <c r="H93" s="63">
        <f t="shared" ca="1" si="7"/>
        <v>2349.2236003855446</v>
      </c>
      <c r="I93" s="63">
        <f t="shared" ca="1" si="7"/>
        <v>2299.0662095349076</v>
      </c>
      <c r="J93" s="63">
        <f t="shared" ca="1" si="7"/>
        <v>2265.866662400399</v>
      </c>
      <c r="K93" s="63">
        <f t="shared" ca="1" si="7"/>
        <v>2241.3988599941044</v>
      </c>
      <c r="L93" s="63">
        <f t="shared" ca="1" si="7"/>
        <v>2199.6401633664973</v>
      </c>
      <c r="M93" s="63">
        <f t="shared" ca="1" si="7"/>
        <v>2171.9997739153723</v>
      </c>
    </row>
    <row r="94" spans="2:13">
      <c r="B94" s="96" t="s">
        <v>1443</v>
      </c>
      <c r="G94" s="63">
        <f t="shared" ref="G94:M94" ca="1" si="8">G72</f>
        <v>4507.6509174477269</v>
      </c>
      <c r="H94" s="63">
        <f t="shared" ca="1" si="8"/>
        <v>1085.7924385293654</v>
      </c>
      <c r="I94" s="63">
        <f t="shared" ca="1" si="8"/>
        <v>900.49255091805821</v>
      </c>
      <c r="J94" s="63">
        <f t="shared" ca="1" si="8"/>
        <v>789.20634108341017</v>
      </c>
      <c r="K94" s="63">
        <f t="shared" ca="1" si="8"/>
        <v>712.80091453922728</v>
      </c>
      <c r="L94" s="63">
        <f t="shared" ca="1" si="8"/>
        <v>593.06423581000888</v>
      </c>
      <c r="M94" s="63">
        <f t="shared" ca="1" si="8"/>
        <v>520.98257343679438</v>
      </c>
    </row>
    <row r="95" spans="2:13">
      <c r="B95" s="853" t="s">
        <v>1444</v>
      </c>
      <c r="G95" s="64">
        <f ca="1">G81+G90</f>
        <v>6006.3990930958271</v>
      </c>
      <c r="H95" s="64">
        <f t="shared" ref="H95:M95" ca="1" si="9">H81+H90</f>
        <v>2251.0613084676747</v>
      </c>
      <c r="I95" s="64">
        <f t="shared" ca="1" si="9"/>
        <v>1981.5278926122166</v>
      </c>
      <c r="J95" s="64">
        <f t="shared" ca="1" si="9"/>
        <v>1811.2422141201573</v>
      </c>
      <c r="K95" s="64">
        <f t="shared" ca="1" si="9"/>
        <v>1689.8872329331518</v>
      </c>
      <c r="L95" s="64">
        <f t="shared" ca="1" si="9"/>
        <v>1490.9153813511707</v>
      </c>
      <c r="M95" s="64">
        <f t="shared" ca="1" si="9"/>
        <v>1364.8829425991307</v>
      </c>
    </row>
    <row r="96" spans="2:13">
      <c r="B96" s="96" t="s">
        <v>1445</v>
      </c>
      <c r="G96" s="63">
        <f ca="1">SUM(G92:G95)</f>
        <v>26314.732581805612</v>
      </c>
      <c r="H96" s="63">
        <f t="shared" ref="H96:L96" ca="1" si="10">SUM(H92:H95)</f>
        <v>17945.754479796859</v>
      </c>
      <c r="I96" s="63">
        <f t="shared" ca="1" si="10"/>
        <v>17365.294213852001</v>
      </c>
      <c r="J96" s="63">
        <f t="shared" ca="1" si="10"/>
        <v>16998.80201536405</v>
      </c>
      <c r="K96" s="63">
        <f t="shared" ca="1" si="10"/>
        <v>16737.468285515886</v>
      </c>
      <c r="L96" s="63">
        <f t="shared" ca="1" si="10"/>
        <v>16308.139335738997</v>
      </c>
      <c r="M96" s="63">
        <f ca="1">SUM(M92:M95)</f>
        <v>16035.192569233153</v>
      </c>
    </row>
    <row r="97" spans="1:20" ht="16">
      <c r="B97" s="204" t="s">
        <v>528</v>
      </c>
      <c r="C97" s="204"/>
      <c r="D97" s="204"/>
      <c r="E97" s="204"/>
      <c r="F97" s="204"/>
      <c r="G97" s="204"/>
      <c r="H97" s="204"/>
      <c r="I97" s="204"/>
      <c r="J97" s="204"/>
      <c r="K97" s="204"/>
      <c r="N97" s="12"/>
      <c r="O97" s="12"/>
      <c r="P97" s="12"/>
      <c r="Q97" s="12"/>
      <c r="R97" s="12"/>
      <c r="S97" s="12"/>
      <c r="T97" s="12"/>
    </row>
    <row r="98" spans="1:20">
      <c r="A98" s="255" t="s">
        <v>991</v>
      </c>
      <c r="B98" s="96" t="s">
        <v>1446</v>
      </c>
      <c r="G98" s="140">
        <f ca="1">'Summary of Results'!G89*'Cost Input'!$F$65</f>
        <v>12923.069499851279</v>
      </c>
      <c r="H98" s="140">
        <f ca="1">'Summary of Results'!H89*'Cost Input'!$F$65</f>
        <v>12259.677132414276</v>
      </c>
      <c r="I98" s="140">
        <f ca="1">'Summary of Results'!I89*'Cost Input'!$F$65</f>
        <v>12184.207560786821</v>
      </c>
      <c r="J98" s="140">
        <f ca="1">'Summary of Results'!J89*'Cost Input'!$F$65</f>
        <v>12132.486797760081</v>
      </c>
      <c r="K98" s="140">
        <f ca="1">'Summary of Results'!K89*'Cost Input'!$F$65</f>
        <v>12093.381278049403</v>
      </c>
      <c r="L98" s="140">
        <f ca="1">'Summary of Results'!L89*'Cost Input'!$F$65</f>
        <v>12024.51955521132</v>
      </c>
      <c r="M98" s="140">
        <f ca="1">'Summary of Results'!M89*'Cost Input'!$F$65</f>
        <v>11977.327279281853</v>
      </c>
      <c r="N98" s="34"/>
      <c r="O98" s="34"/>
      <c r="P98" s="34"/>
      <c r="Q98" s="12"/>
      <c r="R98" s="236"/>
      <c r="S98" s="111"/>
      <c r="T98" s="12"/>
    </row>
    <row r="99" spans="1:20">
      <c r="A99" s="255" t="s">
        <v>991</v>
      </c>
      <c r="B99" s="96" t="s">
        <v>1447</v>
      </c>
      <c r="G99" s="78">
        <f ca="1">'Summary of Results'!G90*'Cost Input'!$F$65</f>
        <v>2877.6130714107785</v>
      </c>
      <c r="H99" s="78">
        <f ca="1">'Summary of Results'!H90*'Cost Input'!$F$65</f>
        <v>2349.2236003855446</v>
      </c>
      <c r="I99" s="78">
        <f ca="1">'Summary of Results'!I90*'Cost Input'!$F$65</f>
        <v>2299.0662095349076</v>
      </c>
      <c r="J99" s="78">
        <f ca="1">'Summary of Results'!J90*'Cost Input'!$F$65</f>
        <v>2265.866662400399</v>
      </c>
      <c r="K99" s="78">
        <f ca="1">'Summary of Results'!K90*'Cost Input'!$F$65</f>
        <v>2241.3988599941044</v>
      </c>
      <c r="L99" s="78">
        <f ca="1">'Summary of Results'!L90*'Cost Input'!$F$65</f>
        <v>2199.6401633664973</v>
      </c>
      <c r="M99" s="78">
        <f ca="1">'Summary of Results'!M90*'Cost Input'!$F$65</f>
        <v>2171.9997739153723</v>
      </c>
      <c r="N99" s="17"/>
      <c r="O99" s="34"/>
      <c r="P99" s="34"/>
      <c r="Q99" s="12"/>
      <c r="R99" s="236"/>
      <c r="S99" s="111"/>
      <c r="T99" s="12"/>
    </row>
    <row r="100" spans="1:20">
      <c r="A100" s="255"/>
      <c r="B100" s="858" t="s">
        <v>1448</v>
      </c>
      <c r="G100" s="28"/>
      <c r="H100" s="28"/>
      <c r="I100" s="28"/>
      <c r="J100" s="28"/>
      <c r="K100" s="28"/>
      <c r="L100" s="28"/>
      <c r="M100" s="28"/>
      <c r="N100" s="34"/>
      <c r="O100" s="34"/>
      <c r="P100" s="34"/>
      <c r="Q100" s="12"/>
      <c r="R100" s="236"/>
      <c r="S100" s="111"/>
      <c r="T100" s="12"/>
    </row>
    <row r="101" spans="1:20">
      <c r="A101" s="255" t="s">
        <v>991</v>
      </c>
      <c r="B101" s="161" t="s">
        <v>1449</v>
      </c>
      <c r="G101" s="78">
        <f t="shared" ref="G101:K107" ca="1" si="11">G65+G74+G83</f>
        <v>2037.5965236967779</v>
      </c>
      <c r="H101" s="78">
        <f t="shared" ca="1" si="11"/>
        <v>640.33168086589797</v>
      </c>
      <c r="I101" s="78">
        <f t="shared" ca="1" si="11"/>
        <v>552.02965031148028</v>
      </c>
      <c r="J101" s="78">
        <f t="shared" ca="1" si="11"/>
        <v>497.46017488924883</v>
      </c>
      <c r="K101" s="78">
        <f t="shared" ca="1" si="11"/>
        <v>459.18790383383021</v>
      </c>
      <c r="L101" s="78">
        <f t="shared" ref="L101:M107" ca="1" si="12">L65+L74+L83</f>
        <v>397.62276665289869</v>
      </c>
      <c r="M101" s="78">
        <f t="shared" ca="1" si="12"/>
        <v>359.43712248262784</v>
      </c>
      <c r="N101" s="34"/>
      <c r="O101" s="34"/>
      <c r="P101" s="34"/>
      <c r="Q101" s="12"/>
      <c r="R101" s="236"/>
      <c r="S101" s="111"/>
      <c r="T101" s="12"/>
    </row>
    <row r="102" spans="1:20">
      <c r="A102" s="255" t="s">
        <v>991</v>
      </c>
      <c r="B102" s="161" t="s">
        <v>1450</v>
      </c>
      <c r="G102" s="78">
        <f t="shared" ca="1" si="11"/>
        <v>2380.0142006038104</v>
      </c>
      <c r="H102" s="78">
        <f t="shared" ca="1" si="11"/>
        <v>743.78164900234151</v>
      </c>
      <c r="I102" s="78">
        <f t="shared" ca="1" si="11"/>
        <v>645.49872564630698</v>
      </c>
      <c r="J102" s="78">
        <f t="shared" ca="1" si="11"/>
        <v>584.89590428207896</v>
      </c>
      <c r="K102" s="78">
        <f t="shared" ca="1" si="11"/>
        <v>542.41996669157436</v>
      </c>
      <c r="L102" s="78">
        <f t="shared" ca="1" si="12"/>
        <v>474.07133514241031</v>
      </c>
      <c r="M102" s="78">
        <f t="shared" ca="1" si="12"/>
        <v>431.61326772658686</v>
      </c>
      <c r="N102" s="34"/>
      <c r="O102" s="34"/>
      <c r="P102" s="34"/>
      <c r="Q102" s="12"/>
      <c r="R102" s="236"/>
      <c r="S102" s="51"/>
      <c r="T102" s="12"/>
    </row>
    <row r="103" spans="1:20">
      <c r="A103" s="255" t="s">
        <v>991</v>
      </c>
      <c r="B103" s="161" t="s">
        <v>1451</v>
      </c>
      <c r="G103" s="78">
        <f t="shared" ca="1" si="11"/>
        <v>2301.8507596979907</v>
      </c>
      <c r="H103" s="78">
        <f t="shared" ca="1" si="11"/>
        <v>852.14970529324864</v>
      </c>
      <c r="I103" s="78">
        <f t="shared" ca="1" si="11"/>
        <v>747.46053694394186</v>
      </c>
      <c r="J103" s="78">
        <f t="shared" ca="1" si="11"/>
        <v>681.35704234041907</v>
      </c>
      <c r="K103" s="78">
        <f t="shared" ca="1" si="11"/>
        <v>634.27790077105794</v>
      </c>
      <c r="L103" s="78">
        <f t="shared" ca="1" si="12"/>
        <v>557.1664246366571</v>
      </c>
      <c r="M103" s="78">
        <f t="shared" ca="1" si="12"/>
        <v>508.39151109725202</v>
      </c>
      <c r="N103" s="34"/>
      <c r="O103" s="34"/>
      <c r="P103" s="34"/>
      <c r="Q103" s="12"/>
      <c r="R103" s="236"/>
      <c r="S103" s="111"/>
      <c r="T103" s="12"/>
    </row>
    <row r="104" spans="1:20">
      <c r="A104" s="255" t="s">
        <v>991</v>
      </c>
      <c r="B104" s="161" t="s">
        <v>1452</v>
      </c>
      <c r="G104" s="78">
        <f t="shared" si="11"/>
        <v>1656.4028264056135</v>
      </c>
      <c r="H104" s="78">
        <f t="shared" si="11"/>
        <v>488.01018960156921</v>
      </c>
      <c r="I104" s="78">
        <f t="shared" si="11"/>
        <v>416.27138144690326</v>
      </c>
      <c r="J104" s="78">
        <f t="shared" si="11"/>
        <v>372.20642149470814</v>
      </c>
      <c r="K104" s="78">
        <f t="shared" si="11"/>
        <v>341.44446235616311</v>
      </c>
      <c r="L104" s="78">
        <f t="shared" si="12"/>
        <v>292.24766530764339</v>
      </c>
      <c r="M104" s="78">
        <f t="shared" si="12"/>
        <v>261.9396731017053</v>
      </c>
      <c r="N104" s="34"/>
      <c r="O104" s="34"/>
      <c r="P104" s="34"/>
      <c r="Q104" s="12"/>
      <c r="R104" s="236"/>
      <c r="S104" s="111"/>
      <c r="T104" s="12"/>
    </row>
    <row r="105" spans="1:20">
      <c r="A105" s="255" t="s">
        <v>991</v>
      </c>
      <c r="B105" s="161" t="s">
        <v>1453</v>
      </c>
      <c r="G105" s="78">
        <f t="shared" si="11"/>
        <v>109.04397661377755</v>
      </c>
      <c r="H105" s="78">
        <f t="shared" si="11"/>
        <v>40.237388029432935</v>
      </c>
      <c r="I105" s="78">
        <f t="shared" si="11"/>
        <v>35.210514263384681</v>
      </c>
      <c r="J105" s="78">
        <f t="shared" si="11"/>
        <v>32.036105102696339</v>
      </c>
      <c r="K105" s="78">
        <f t="shared" si="11"/>
        <v>29.775728466756362</v>
      </c>
      <c r="L105" s="78">
        <f t="shared" si="12"/>
        <v>26.075438344029919</v>
      </c>
      <c r="M105" s="78">
        <f t="shared" si="12"/>
        <v>23.737073959513747</v>
      </c>
      <c r="N105" s="34"/>
      <c r="O105" s="34"/>
      <c r="P105" s="34"/>
      <c r="Q105" s="12"/>
      <c r="R105" s="236"/>
      <c r="S105" s="111"/>
      <c r="T105" s="12"/>
    </row>
    <row r="106" spans="1:20">
      <c r="A106" s="255" t="s">
        <v>991</v>
      </c>
      <c r="B106" s="161" t="s">
        <v>1454</v>
      </c>
      <c r="G106" s="78">
        <f t="shared" ca="1" si="11"/>
        <v>1552.1209761174011</v>
      </c>
      <c r="H106" s="78">
        <f t="shared" ca="1" si="11"/>
        <v>443.89522683396922</v>
      </c>
      <c r="I106" s="78">
        <f t="shared" ca="1" si="11"/>
        <v>377.37370397640666</v>
      </c>
      <c r="J106" s="78">
        <f t="shared" ca="1" si="11"/>
        <v>336.6422416490567</v>
      </c>
      <c r="K106" s="78">
        <f t="shared" ca="1" si="11"/>
        <v>308.27057384189749</v>
      </c>
      <c r="L106" s="78">
        <f t="shared" ca="1" si="12"/>
        <v>263.01386790416484</v>
      </c>
      <c r="M106" s="78">
        <f t="shared" ca="1" si="12"/>
        <v>235.21157242012026</v>
      </c>
      <c r="N106" s="17"/>
      <c r="O106" s="34"/>
      <c r="P106" s="34"/>
      <c r="Q106" s="12"/>
      <c r="R106" s="236"/>
      <c r="S106" s="111"/>
      <c r="T106" s="12"/>
    </row>
    <row r="107" spans="1:20">
      <c r="A107" s="255" t="s">
        <v>991</v>
      </c>
      <c r="B107" s="161" t="s">
        <v>1455</v>
      </c>
      <c r="G107" s="78">
        <f t="shared" ca="1" si="11"/>
        <v>477.02074740818341</v>
      </c>
      <c r="H107" s="78">
        <f t="shared" ca="1" si="11"/>
        <v>128.44790737058105</v>
      </c>
      <c r="I107" s="78">
        <f t="shared" ca="1" si="11"/>
        <v>108.17593094185114</v>
      </c>
      <c r="J107" s="78">
        <f t="shared" ca="1" si="11"/>
        <v>95.850665445359255</v>
      </c>
      <c r="K107" s="78">
        <f t="shared" ca="1" si="11"/>
        <v>87.311611511099414</v>
      </c>
      <c r="L107" s="78">
        <f t="shared" ca="1" si="12"/>
        <v>73.782119173375492</v>
      </c>
      <c r="M107" s="78">
        <f t="shared" ca="1" si="12"/>
        <v>65.535295248119056</v>
      </c>
      <c r="N107" s="34"/>
      <c r="O107" s="12"/>
      <c r="P107" s="12"/>
      <c r="Q107" s="12"/>
      <c r="R107" s="236"/>
      <c r="S107" s="111"/>
      <c r="T107" s="12"/>
    </row>
    <row r="108" spans="1:20">
      <c r="A108" s="255" t="s">
        <v>991</v>
      </c>
      <c r="B108" s="161" t="s">
        <v>1456</v>
      </c>
      <c r="G108" s="64">
        <f t="shared" ref="G108:L108" ca="1" si="13">SUM(G101:G107)</f>
        <v>10514.050010543555</v>
      </c>
      <c r="H108" s="64">
        <f t="shared" ca="1" si="13"/>
        <v>3336.8537469970411</v>
      </c>
      <c r="I108" s="64">
        <f t="shared" ca="1" si="13"/>
        <v>2882.0204435302749</v>
      </c>
      <c r="J108" s="64">
        <f t="shared" ca="1" si="13"/>
        <v>2600.4485552035676</v>
      </c>
      <c r="K108" s="64">
        <f t="shared" ca="1" si="13"/>
        <v>2402.6881474723787</v>
      </c>
      <c r="L108" s="64">
        <f t="shared" ca="1" si="13"/>
        <v>2083.9796171611797</v>
      </c>
      <c r="M108" s="64">
        <f ca="1">SUM(M101:M107)</f>
        <v>1885.8655160359251</v>
      </c>
      <c r="N108" s="12"/>
      <c r="O108" s="12"/>
      <c r="P108" s="12"/>
      <c r="Q108" s="12"/>
      <c r="R108" s="12"/>
      <c r="S108" s="12"/>
      <c r="T108" s="12"/>
    </row>
    <row r="109" spans="1:20">
      <c r="A109" s="255" t="s">
        <v>991</v>
      </c>
      <c r="B109" s="161" t="s">
        <v>1457</v>
      </c>
      <c r="G109" s="63">
        <f ca="1">G98+G99+G108</f>
        <v>26314.732581805612</v>
      </c>
      <c r="H109" s="63">
        <f t="shared" ref="H109:L109" ca="1" si="14">H98+H99+H108</f>
        <v>17945.754479796862</v>
      </c>
      <c r="I109" s="63">
        <f t="shared" ca="1" si="14"/>
        <v>17365.294213852001</v>
      </c>
      <c r="J109" s="63">
        <f t="shared" ca="1" si="14"/>
        <v>16998.802015364046</v>
      </c>
      <c r="K109" s="63">
        <f t="shared" ca="1" si="14"/>
        <v>16737.468285515886</v>
      </c>
      <c r="L109" s="63">
        <f t="shared" ca="1" si="14"/>
        <v>16308.139335738997</v>
      </c>
      <c r="M109" s="63">
        <f ca="1">M98+M99+M108</f>
        <v>16035.192569233152</v>
      </c>
      <c r="N109" s="12"/>
      <c r="O109" s="12"/>
      <c r="P109" s="12"/>
      <c r="Q109" s="12"/>
      <c r="R109" s="12"/>
      <c r="S109" s="12"/>
      <c r="T109" s="12"/>
    </row>
    <row r="110" spans="1:20">
      <c r="A110" s="255" t="s">
        <v>991</v>
      </c>
      <c r="B110" s="161" t="s">
        <v>1458</v>
      </c>
      <c r="G110" s="78">
        <f>'Summary of Results'!G99</f>
        <v>589.46061382423511</v>
      </c>
      <c r="H110" s="78">
        <f>'Summary of Results'!H99</f>
        <v>436.86956729686773</v>
      </c>
      <c r="I110" s="78">
        <f>'Summary of Results'!I99</f>
        <v>419.51033695163892</v>
      </c>
      <c r="J110" s="78">
        <f>'Summary of Results'!J99</f>
        <v>407.6137192863871</v>
      </c>
      <c r="K110" s="78">
        <f>'Summary of Results'!K99</f>
        <v>398.61881299781658</v>
      </c>
      <c r="L110" s="78">
        <f>'Summary of Results'!L99</f>
        <v>382.77949546973497</v>
      </c>
      <c r="M110" s="78">
        <f>'Summary of Results'!M99</f>
        <v>371.92450357420404</v>
      </c>
      <c r="N110" s="12"/>
      <c r="O110" s="12"/>
      <c r="P110" s="12"/>
      <c r="Q110" s="12"/>
      <c r="R110" s="12"/>
      <c r="S110" s="12"/>
      <c r="T110" s="12"/>
    </row>
    <row r="111" spans="1:20">
      <c r="A111" s="255" t="s">
        <v>991</v>
      </c>
      <c r="B111" s="853" t="s">
        <v>1459</v>
      </c>
      <c r="G111" s="78">
        <f ca="1">'Summary of Results'!G101</f>
        <v>40</v>
      </c>
      <c r="H111" s="78">
        <f ca="1">'Summary of Results'!H101</f>
        <v>40</v>
      </c>
      <c r="I111" s="78">
        <f ca="1">'Summary of Results'!I101</f>
        <v>40</v>
      </c>
      <c r="J111" s="78">
        <f ca="1">'Summary of Results'!J101</f>
        <v>40</v>
      </c>
      <c r="K111" s="78">
        <f ca="1">'Summary of Results'!K101</f>
        <v>40</v>
      </c>
      <c r="L111" s="78">
        <f ca="1">'Summary of Results'!L101</f>
        <v>40</v>
      </c>
      <c r="M111" s="78">
        <f ca="1">'Summary of Results'!M101</f>
        <v>40</v>
      </c>
      <c r="N111" s="12"/>
      <c r="O111" s="12"/>
      <c r="P111" s="12"/>
      <c r="Q111" s="12"/>
      <c r="R111" s="12"/>
      <c r="S111" s="12"/>
      <c r="T111" s="12"/>
    </row>
    <row r="112" spans="1:20">
      <c r="A112" s="255" t="s">
        <v>991</v>
      </c>
      <c r="B112" s="853" t="s">
        <v>1460</v>
      </c>
      <c r="G112" s="63">
        <f t="shared" ref="G112:L112" ca="1" si="15">G109+G110+G111</f>
        <v>26944.193195629847</v>
      </c>
      <c r="H112" s="63">
        <f t="shared" ca="1" si="15"/>
        <v>18422.62404709373</v>
      </c>
      <c r="I112" s="63">
        <f t="shared" ca="1" si="15"/>
        <v>17824.804550803641</v>
      </c>
      <c r="J112" s="63">
        <f t="shared" ca="1" si="15"/>
        <v>17446.415734650433</v>
      </c>
      <c r="K112" s="63">
        <f t="shared" ca="1" si="15"/>
        <v>17176.087098513704</v>
      </c>
      <c r="L112" s="63">
        <f t="shared" ca="1" si="15"/>
        <v>16730.918831208732</v>
      </c>
      <c r="M112" s="63">
        <f ca="1">M109+M110+M111</f>
        <v>16447.117072807356</v>
      </c>
      <c r="N112" s="12"/>
      <c r="O112" s="12"/>
      <c r="P112" s="12"/>
      <c r="Q112" s="12"/>
      <c r="R112" s="12"/>
      <c r="S112" s="12"/>
      <c r="T112" s="12"/>
    </row>
    <row r="114" spans="7:11">
      <c r="G114" s="63"/>
      <c r="H114" s="63"/>
      <c r="I114" s="63"/>
      <c r="J114" s="63"/>
      <c r="K114" s="63"/>
    </row>
    <row r="115" spans="7:11">
      <c r="G115" s="63"/>
      <c r="H115" s="63"/>
      <c r="I115" s="63"/>
      <c r="J115" s="63"/>
      <c r="K115" s="63"/>
    </row>
    <row r="116" spans="7:11">
      <c r="G116" s="63"/>
      <c r="H116" s="63"/>
      <c r="I116" s="63"/>
      <c r="J116" s="63"/>
      <c r="K116" s="63"/>
    </row>
    <row r="117" spans="7:11">
      <c r="G117" s="63"/>
      <c r="H117" s="63"/>
      <c r="I117" s="63"/>
      <c r="J117" s="63"/>
      <c r="K117" s="63"/>
    </row>
    <row r="118" spans="7:11">
      <c r="G118" s="63"/>
      <c r="H118" s="63"/>
      <c r="I118" s="63"/>
      <c r="J118" s="63"/>
      <c r="K118" s="63"/>
    </row>
    <row r="119" spans="7:11">
      <c r="G119" s="63"/>
      <c r="H119" s="63"/>
      <c r="I119" s="63"/>
      <c r="J119" s="63"/>
      <c r="K119" s="63"/>
    </row>
    <row r="120" spans="7:11">
      <c r="G120" s="63"/>
      <c r="H120" s="63"/>
      <c r="I120" s="63"/>
      <c r="J120" s="63"/>
      <c r="K120" s="63"/>
    </row>
    <row r="121" spans="7:11">
      <c r="G121" s="63"/>
      <c r="H121" s="63"/>
      <c r="I121" s="63"/>
      <c r="J121" s="63"/>
      <c r="K121" s="63"/>
    </row>
    <row r="122" spans="7:11">
      <c r="G122" s="63"/>
      <c r="H122" s="63"/>
      <c r="I122" s="63"/>
      <c r="J122" s="63"/>
      <c r="K122" s="63"/>
    </row>
    <row r="123" spans="7:11">
      <c r="G123" s="63"/>
      <c r="H123" s="63"/>
      <c r="I123" s="63"/>
      <c r="J123" s="63"/>
      <c r="K123" s="63"/>
    </row>
    <row r="124" spans="7:11">
      <c r="G124" s="63"/>
      <c r="H124" s="63"/>
      <c r="I124" s="63"/>
      <c r="J124" s="63"/>
      <c r="K124" s="63"/>
    </row>
    <row r="125" spans="7:11">
      <c r="G125" s="63"/>
      <c r="H125" s="63"/>
      <c r="I125" s="63"/>
      <c r="J125" s="63"/>
      <c r="K125" s="63"/>
    </row>
    <row r="126" spans="7:11">
      <c r="G126" s="63"/>
      <c r="H126" s="63"/>
      <c r="I126" s="63"/>
      <c r="J126" s="63"/>
      <c r="K126" s="63"/>
    </row>
    <row r="127" spans="7:11">
      <c r="G127" s="63"/>
      <c r="H127" s="63"/>
      <c r="I127" s="63"/>
      <c r="J127" s="63"/>
      <c r="K127" s="63"/>
    </row>
    <row r="128" spans="7:11">
      <c r="G128" s="63"/>
      <c r="H128" s="63"/>
      <c r="I128" s="63"/>
      <c r="J128" s="63"/>
      <c r="K128" s="63"/>
    </row>
    <row r="129" spans="7:11">
      <c r="G129" s="63"/>
      <c r="H129" s="63"/>
      <c r="I129" s="63"/>
      <c r="J129" s="63"/>
      <c r="K129" s="63"/>
    </row>
    <row r="130" spans="7:11">
      <c r="G130" s="63"/>
      <c r="H130" s="63"/>
      <c r="I130" s="63"/>
      <c r="J130" s="63"/>
      <c r="K130" s="63"/>
    </row>
    <row r="131" spans="7:11">
      <c r="G131" s="63"/>
      <c r="H131" s="63"/>
      <c r="I131" s="63"/>
      <c r="J131" s="63"/>
      <c r="K131" s="63"/>
    </row>
    <row r="132" spans="7:11">
      <c r="G132" s="63"/>
      <c r="H132" s="63"/>
      <c r="I132" s="63"/>
      <c r="J132" s="63"/>
      <c r="K132" s="63"/>
    </row>
    <row r="133" spans="7:11">
      <c r="G133" s="63"/>
      <c r="H133" s="63"/>
      <c r="I133" s="63"/>
      <c r="J133" s="63"/>
      <c r="K133" s="63"/>
    </row>
    <row r="134" spans="7:11">
      <c r="G134" s="63"/>
      <c r="H134" s="63"/>
      <c r="I134" s="63"/>
      <c r="J134" s="63"/>
      <c r="K134" s="63"/>
    </row>
    <row r="135" spans="7:11">
      <c r="G135" s="63"/>
      <c r="H135" s="63"/>
      <c r="I135" s="63"/>
      <c r="J135" s="63"/>
      <c r="K135" s="63"/>
    </row>
    <row r="136" spans="7:11">
      <c r="G136" s="63"/>
      <c r="H136" s="63"/>
      <c r="I136" s="63"/>
      <c r="J136" s="63"/>
      <c r="K136" s="63"/>
    </row>
    <row r="137" spans="7:11">
      <c r="G137" s="63"/>
      <c r="H137" s="63"/>
      <c r="I137" s="63"/>
      <c r="J137" s="63"/>
      <c r="K137" s="63"/>
    </row>
    <row r="138" spans="7:11">
      <c r="G138" s="63"/>
      <c r="H138" s="63"/>
      <c r="I138" s="63"/>
      <c r="J138" s="63"/>
      <c r="K138" s="63"/>
    </row>
    <row r="139" spans="7:11">
      <c r="G139" s="63"/>
      <c r="H139" s="63"/>
      <c r="I139" s="63"/>
      <c r="J139" s="63"/>
      <c r="K139" s="63"/>
    </row>
    <row r="140" spans="7:11">
      <c r="G140" s="63"/>
      <c r="H140" s="63"/>
      <c r="I140" s="63"/>
      <c r="J140" s="63"/>
      <c r="K140" s="63"/>
    </row>
    <row r="141" spans="7:11">
      <c r="G141" s="63"/>
      <c r="H141" s="63"/>
      <c r="I141" s="63"/>
      <c r="J141" s="63"/>
      <c r="K141" s="63"/>
    </row>
  </sheetData>
  <mergeCells count="3">
    <mergeCell ref="B1:M1"/>
    <mergeCell ref="B2:M2"/>
    <mergeCell ref="B61:M61"/>
  </mergeCells>
  <pageMargins left="0.45" right="0.45" top="0.75" bottom="0.75" header="0.3" footer="0.3"/>
  <pageSetup scale="89" orientation="portrait" r:id="rId1"/>
  <headerFooter>
    <oddFooter>&amp;C&amp;P&amp;R&amp;F, &amp;D</oddFooter>
  </headerFooter>
  <rowBreaks count="5" manualBreakCount="5">
    <brk id="60" max="16383" man="1"/>
    <brk id="112" max="16383" man="1"/>
    <brk id="167" min="1" max="12" man="1"/>
    <brk id="227" min="1" max="12" man="1"/>
    <brk id="277" min="1" max="12" man="1"/>
  </rowBreaks>
  <colBreaks count="1" manualBreakCount="1">
    <brk id="13"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theme="9" tint="-0.249977111117893"/>
  </sheetPr>
  <dimension ref="A1:U78"/>
  <sheetViews>
    <sheetView workbookViewId="0">
      <pane ySplit="3" topLeftCell="A4" activePane="bottomLeft" state="frozen"/>
      <selection pane="bottomLeft" activeCell="A4" sqref="A4"/>
    </sheetView>
  </sheetViews>
  <sheetFormatPr baseColWidth="10" defaultColWidth="8.83203125" defaultRowHeight="13"/>
  <cols>
    <col min="4" max="4" width="11" customWidth="1"/>
    <col min="5" max="5" width="10.5" customWidth="1"/>
    <col min="6" max="6" width="9.6640625" customWidth="1"/>
    <col min="7" max="13" width="10.6640625" customWidth="1"/>
    <col min="15" max="21" width="9.5" bestFit="1" customWidth="1"/>
  </cols>
  <sheetData>
    <row r="1" spans="2:13" ht="18">
      <c r="B1" s="1277" t="s">
        <v>656</v>
      </c>
      <c r="C1" s="1277"/>
      <c r="D1" s="1277"/>
      <c r="E1" s="1277"/>
      <c r="F1" s="1277"/>
      <c r="G1" s="1277"/>
      <c r="H1" s="1277"/>
      <c r="I1" s="1277"/>
      <c r="J1" s="1277"/>
      <c r="K1" s="1277"/>
      <c r="L1" s="1277"/>
      <c r="M1" s="1277"/>
    </row>
    <row r="2" spans="2:13" ht="16">
      <c r="B2" s="1278" t="str">
        <f>Chem!C5</f>
        <v>LiFePO4 / Graphite</v>
      </c>
      <c r="C2" s="1278"/>
      <c r="D2" s="1278"/>
      <c r="E2" s="1278"/>
      <c r="F2" s="1278"/>
      <c r="G2" s="1278"/>
      <c r="H2" s="1278"/>
      <c r="I2" s="1278"/>
      <c r="J2" s="1278"/>
      <c r="K2" s="1278"/>
      <c r="L2" s="1278"/>
      <c r="M2" s="1278"/>
    </row>
    <row r="3" spans="2:13" ht="16">
      <c r="G3" s="346" t="s">
        <v>0</v>
      </c>
      <c r="H3" s="346" t="s">
        <v>1</v>
      </c>
      <c r="I3" s="346" t="s">
        <v>2</v>
      </c>
      <c r="J3" s="346" t="s">
        <v>3</v>
      </c>
      <c r="K3" s="346" t="s">
        <v>4</v>
      </c>
      <c r="L3" s="346" t="s">
        <v>530</v>
      </c>
      <c r="M3" s="346" t="s">
        <v>531</v>
      </c>
    </row>
    <row r="4" spans="2:13" ht="16">
      <c r="B4" s="13" t="s">
        <v>638</v>
      </c>
      <c r="G4" s="163"/>
      <c r="H4" s="163"/>
      <c r="I4" s="163"/>
      <c r="J4" s="163"/>
      <c r="K4" s="163"/>
    </row>
    <row r="5" spans="2:13">
      <c r="B5" t="s">
        <v>156</v>
      </c>
      <c r="E5" s="163"/>
      <c r="G5" s="79">
        <f ca="1">'Battery Design'!G193</f>
        <v>339.99999999999983</v>
      </c>
      <c r="H5" s="79">
        <f ca="1">'Battery Design'!H193</f>
        <v>339.99999999999983</v>
      </c>
      <c r="I5" s="79">
        <f ca="1">'Battery Design'!I193</f>
        <v>339.99999999999983</v>
      </c>
      <c r="J5" s="79">
        <f ca="1">'Battery Design'!J193</f>
        <v>339.99999999999983</v>
      </c>
      <c r="K5" s="79">
        <f ca="1">'Battery Design'!K193</f>
        <v>339.99999999999983</v>
      </c>
      <c r="L5" s="79">
        <f ca="1">'Battery Design'!L193</f>
        <v>339.99999999999983</v>
      </c>
      <c r="M5" s="79">
        <f ca="1">'Battery Design'!M193</f>
        <v>339.99999999999983</v>
      </c>
    </row>
    <row r="6" spans="2:13">
      <c r="B6" s="256" t="s">
        <v>653</v>
      </c>
      <c r="E6" s="163"/>
      <c r="G6" s="80">
        <f ca="1">'Battery Design'!G151</f>
        <v>406.23900856291681</v>
      </c>
      <c r="H6" s="80">
        <f ca="1">'Battery Design'!H151</f>
        <v>406.23900856291681</v>
      </c>
      <c r="I6" s="80">
        <f ca="1">'Battery Design'!I151</f>
        <v>406.23900856291681</v>
      </c>
      <c r="J6" s="80">
        <f ca="1">'Battery Design'!J151</f>
        <v>406.23900856291681</v>
      </c>
      <c r="K6" s="80">
        <f ca="1">'Battery Design'!K151</f>
        <v>406.23900856291681</v>
      </c>
      <c r="L6" s="80">
        <f ca="1">'Battery Design'!L151</f>
        <v>406.23900856291681</v>
      </c>
      <c r="M6" s="80">
        <f ca="1">'Battery Design'!M151</f>
        <v>406.23900856291681</v>
      </c>
    </row>
    <row r="7" spans="2:13">
      <c r="B7" s="256" t="s">
        <v>654</v>
      </c>
      <c r="G7" s="79">
        <f ca="1">'Battery Design'!G147</f>
        <v>99.999999999999957</v>
      </c>
      <c r="H7" s="79">
        <f ca="1">'Battery Design'!H147</f>
        <v>99.999999999999957</v>
      </c>
      <c r="I7" s="79">
        <f ca="1">'Battery Design'!I147</f>
        <v>99.999999999999957</v>
      </c>
      <c r="J7" s="79">
        <f ca="1">'Battery Design'!J147</f>
        <v>99.999999999999957</v>
      </c>
      <c r="K7" s="79">
        <f ca="1">'Battery Design'!K147</f>
        <v>99.999999999999957</v>
      </c>
      <c r="L7" s="79">
        <f ca="1">'Battery Design'!L147</f>
        <v>99.999999999999957</v>
      </c>
      <c r="M7" s="79">
        <f ca="1">'Battery Design'!M147</f>
        <v>99.999999999999957</v>
      </c>
    </row>
    <row r="8" spans="2:13">
      <c r="B8" s="256" t="s">
        <v>652</v>
      </c>
      <c r="E8" s="163"/>
      <c r="G8" s="79">
        <f ca="1">'Battery Design'!G182</f>
        <v>544.79122628184587</v>
      </c>
      <c r="H8" s="79">
        <f ca="1">'Battery Design'!H182</f>
        <v>544.79122628184587</v>
      </c>
      <c r="I8" s="79">
        <f ca="1">'Battery Design'!I182</f>
        <v>544.79122628184587</v>
      </c>
      <c r="J8" s="79">
        <f ca="1">'Battery Design'!J182</f>
        <v>544.79122628184587</v>
      </c>
      <c r="K8" s="79">
        <f ca="1">'Battery Design'!K182</f>
        <v>544.79122628184587</v>
      </c>
      <c r="L8" s="79">
        <f ca="1">'Battery Design'!L182</f>
        <v>544.79122628184587</v>
      </c>
      <c r="M8" s="79">
        <f ca="1">'Battery Design'!M182</f>
        <v>544.79122628184587</v>
      </c>
    </row>
    <row r="9" spans="2:13" ht="16">
      <c r="B9" s="13" t="s">
        <v>639</v>
      </c>
      <c r="E9" s="163"/>
      <c r="G9" s="79"/>
      <c r="H9" s="79"/>
      <c r="I9" s="79"/>
      <c r="J9" s="79"/>
      <c r="K9" s="79"/>
      <c r="L9" s="79"/>
      <c r="M9" s="79"/>
    </row>
    <row r="10" spans="2:13">
      <c r="B10" s="256" t="s">
        <v>641</v>
      </c>
      <c r="E10" s="163"/>
      <c r="G10" s="79">
        <f ca="1">'Battery Design'!G9</f>
        <v>515.67057398277734</v>
      </c>
      <c r="H10" s="79">
        <f ca="1">'Battery Design'!H9</f>
        <v>515.67057398277734</v>
      </c>
      <c r="I10" s="79">
        <f ca="1">'Battery Design'!I9</f>
        <v>515.67057398277734</v>
      </c>
      <c r="J10" s="79">
        <f ca="1">'Battery Design'!J9</f>
        <v>515.67057398277734</v>
      </c>
      <c r="K10" s="79">
        <f ca="1">'Battery Design'!K9</f>
        <v>515.67057398277734</v>
      </c>
      <c r="L10" s="79">
        <f ca="1">'Battery Design'!L9</f>
        <v>515.67057398277734</v>
      </c>
      <c r="M10" s="79">
        <f ca="1">'Battery Design'!M9</f>
        <v>515.67057398277734</v>
      </c>
    </row>
    <row r="11" spans="2:13">
      <c r="B11" s="256" t="s">
        <v>642</v>
      </c>
      <c r="E11" s="163"/>
      <c r="G11" s="79">
        <f ca="1">'Battery Design'!G15</f>
        <v>25.274436621450381</v>
      </c>
      <c r="H11" s="79">
        <f ca="1">'Battery Design'!H15</f>
        <v>25.274436621450381</v>
      </c>
      <c r="I11" s="79">
        <f ca="1">'Battery Design'!I15</f>
        <v>25.274436621450381</v>
      </c>
      <c r="J11" s="79">
        <f ca="1">'Battery Design'!J15</f>
        <v>25.274436621450381</v>
      </c>
      <c r="K11" s="79">
        <f ca="1">'Battery Design'!K15</f>
        <v>25.274436621450381</v>
      </c>
      <c r="L11" s="79">
        <f ca="1">'Battery Design'!L15</f>
        <v>25.274436621450381</v>
      </c>
      <c r="M11" s="79">
        <f ca="1">'Battery Design'!M15</f>
        <v>25.274436621450381</v>
      </c>
    </row>
    <row r="12" spans="2:13">
      <c r="B12" s="256" t="s">
        <v>640</v>
      </c>
      <c r="E12" s="163"/>
      <c r="G12" s="340">
        <f ca="1">'Battery Design'!G24</f>
        <v>8.6919082220135141E-2</v>
      </c>
      <c r="H12" s="340">
        <f ca="1">'Battery Design'!H24</f>
        <v>8.6919082220135141E-2</v>
      </c>
      <c r="I12" s="340">
        <f ca="1">'Battery Design'!I24</f>
        <v>8.6919082220135141E-2</v>
      </c>
      <c r="J12" s="340">
        <f ca="1">'Battery Design'!J24</f>
        <v>8.6919082220135141E-2</v>
      </c>
      <c r="K12" s="340">
        <f ca="1">'Battery Design'!K24</f>
        <v>8.6919082220135141E-2</v>
      </c>
      <c r="L12" s="340">
        <f ca="1">'Battery Design'!L24</f>
        <v>8.6919082220135141E-2</v>
      </c>
      <c r="M12" s="340">
        <f ca="1">'Battery Design'!M24</f>
        <v>8.6919082220135141E-2</v>
      </c>
    </row>
    <row r="13" spans="2:13">
      <c r="B13" s="256" t="s">
        <v>651</v>
      </c>
      <c r="E13" s="163"/>
      <c r="G13" s="342">
        <f ca="1">G12*Chem!$C55</f>
        <v>0.72386211672928535</v>
      </c>
      <c r="H13" s="342">
        <f ca="1">H12*Chem!$C55</f>
        <v>0.72386211672928535</v>
      </c>
      <c r="I13" s="342">
        <f ca="1">I12*Chem!$C55</f>
        <v>0.72386211672928535</v>
      </c>
      <c r="J13" s="342">
        <f ca="1">J12*Chem!$C55</f>
        <v>0.72386211672928535</v>
      </c>
      <c r="K13" s="342">
        <f ca="1">K12*Chem!$C55</f>
        <v>0.72386211672928535</v>
      </c>
      <c r="L13" s="342">
        <f ca="1">L12*Chem!$C55</f>
        <v>0.72386211672928535</v>
      </c>
      <c r="M13" s="342">
        <f ca="1">M12*Chem!$C55</f>
        <v>0.72386211672928535</v>
      </c>
    </row>
    <row r="14" spans="2:13">
      <c r="B14" s="256" t="s">
        <v>655</v>
      </c>
      <c r="E14" s="163"/>
      <c r="G14" s="80">
        <f>'Battery Design'!G74</f>
        <v>400</v>
      </c>
      <c r="H14" s="80">
        <f>'Battery Design'!H74</f>
        <v>400</v>
      </c>
      <c r="I14" s="80">
        <f>'Battery Design'!I74</f>
        <v>400</v>
      </c>
      <c r="J14" s="80">
        <f>'Battery Design'!J74</f>
        <v>400</v>
      </c>
      <c r="K14" s="80">
        <f>'Battery Design'!K74</f>
        <v>400</v>
      </c>
      <c r="L14" s="80">
        <f>'Battery Design'!L74</f>
        <v>400</v>
      </c>
      <c r="M14" s="80">
        <f>'Battery Design'!M74</f>
        <v>400</v>
      </c>
    </row>
    <row r="15" spans="2:13">
      <c r="B15" s="256" t="s">
        <v>484</v>
      </c>
      <c r="E15" s="163"/>
      <c r="G15" s="80">
        <f>'Battery Design'!G72</f>
        <v>20</v>
      </c>
      <c r="H15" s="80">
        <f>'Battery Design'!H72</f>
        <v>20</v>
      </c>
      <c r="I15" s="80">
        <f>'Battery Design'!I72</f>
        <v>20</v>
      </c>
      <c r="J15" s="80">
        <f>'Battery Design'!J72</f>
        <v>20</v>
      </c>
      <c r="K15" s="80">
        <f>'Battery Design'!K72</f>
        <v>20</v>
      </c>
      <c r="L15" s="80">
        <f>'Battery Design'!L72</f>
        <v>20</v>
      </c>
      <c r="M15" s="80">
        <f>'Battery Design'!M72</f>
        <v>20</v>
      </c>
    </row>
    <row r="16" spans="2:13" ht="16">
      <c r="B16" s="13" t="s">
        <v>712</v>
      </c>
      <c r="E16" s="163"/>
      <c r="G16" s="79"/>
      <c r="H16" s="79"/>
      <c r="I16" s="79"/>
      <c r="J16" s="79"/>
      <c r="K16" s="79"/>
      <c r="L16" s="79"/>
      <c r="M16" s="79"/>
    </row>
    <row r="17" spans="1:21">
      <c r="B17" s="255" t="s">
        <v>645</v>
      </c>
      <c r="E17" s="163"/>
      <c r="G17" s="79"/>
      <c r="H17" s="79"/>
      <c r="I17" s="79"/>
      <c r="J17" s="79"/>
      <c r="K17" s="79"/>
      <c r="L17" s="79"/>
      <c r="M17" s="79"/>
    </row>
    <row r="18" spans="1:21">
      <c r="B18" s="256" t="s">
        <v>1212</v>
      </c>
      <c r="E18" s="163"/>
      <c r="G18" s="341">
        <f ca="1">G14*(Chem!$C85*G10+Chem!$C86*G11+G13)/1000</f>
        <v>9.7980539216678313</v>
      </c>
      <c r="H18" s="341">
        <f ca="1">H14*(Chem!$C85*H10+Chem!$C86*H11+H13)/1000</f>
        <v>9.7980539216678313</v>
      </c>
      <c r="I18" s="341">
        <f ca="1">I14*(Chem!$C85*I10+Chem!$C86*I11+I13)/1000</f>
        <v>9.7980539216678313</v>
      </c>
      <c r="J18" s="341">
        <f ca="1">J14*(Chem!$C85*J10+Chem!$C86*J11+J13)/1000</f>
        <v>9.7980539216678313</v>
      </c>
      <c r="K18" s="341">
        <f ca="1">K14*(Chem!$C85*K10+Chem!$C86*K11+K13)/1000</f>
        <v>9.7980539216678313</v>
      </c>
      <c r="L18" s="341">
        <f ca="1">L14*(Chem!$C85*L10+Chem!$C86*L11+L13)/1000</f>
        <v>9.7980539216678313</v>
      </c>
      <c r="M18" s="341">
        <f ca="1">M14*(Chem!$C85*M10+Chem!$C86*M11+M13)/1000</f>
        <v>9.7980539216678313</v>
      </c>
      <c r="O18" s="56"/>
      <c r="P18" s="56"/>
      <c r="Q18" s="56"/>
      <c r="R18" s="56"/>
      <c r="S18" s="56"/>
      <c r="T18" s="56"/>
      <c r="U18" s="56"/>
    </row>
    <row r="19" spans="1:21">
      <c r="B19" s="256" t="s">
        <v>1213</v>
      </c>
      <c r="E19" s="163"/>
      <c r="G19" s="343">
        <f ca="1">G10*G14*Chem!$C87/1000</f>
        <v>0</v>
      </c>
      <c r="H19" s="343">
        <f ca="1">H10*H14*Chem!$C87/1000</f>
        <v>0</v>
      </c>
      <c r="I19" s="343">
        <f ca="1">I10*I14*Chem!$C87/1000</f>
        <v>0</v>
      </c>
      <c r="J19" s="343">
        <f ca="1">J10*J14*Chem!$C87/1000</f>
        <v>0</v>
      </c>
      <c r="K19" s="343">
        <f ca="1">K10*K14*Chem!$C87/1000</f>
        <v>0</v>
      </c>
      <c r="L19" s="343">
        <f ca="1">L10*L14*Chem!$C87/1000</f>
        <v>0</v>
      </c>
      <c r="M19" s="343">
        <f ca="1">M10*M14*Chem!$C87/1000</f>
        <v>0</v>
      </c>
      <c r="O19" s="56"/>
      <c r="P19" s="56"/>
      <c r="Q19" s="56"/>
      <c r="R19" s="56"/>
      <c r="S19" s="56"/>
      <c r="T19" s="56"/>
      <c r="U19" s="56"/>
    </row>
    <row r="20" spans="1:21">
      <c r="B20" s="256" t="s">
        <v>1214</v>
      </c>
      <c r="G20" s="343">
        <f ca="1">G10*G14*Chem!$C88/1000</f>
        <v>0</v>
      </c>
      <c r="H20" s="343">
        <f ca="1">H10*H14*Chem!$C88/1000</f>
        <v>0</v>
      </c>
      <c r="I20" s="343">
        <f ca="1">I10*I14*Chem!$C88/1000</f>
        <v>0</v>
      </c>
      <c r="J20" s="343">
        <f ca="1">J10*J14*Chem!$C88/1000</f>
        <v>0</v>
      </c>
      <c r="K20" s="343">
        <f ca="1">K10*K14*Chem!$C88/1000</f>
        <v>0</v>
      </c>
      <c r="L20" s="343">
        <f ca="1">L10*L14*Chem!$C88/1000</f>
        <v>0</v>
      </c>
      <c r="M20" s="343">
        <f ca="1">M10*M14*Chem!$C88/1000</f>
        <v>0</v>
      </c>
      <c r="O20" s="56"/>
      <c r="P20" s="56"/>
      <c r="Q20" s="56"/>
      <c r="R20" s="56"/>
      <c r="S20" s="56"/>
      <c r="T20" s="56"/>
      <c r="U20" s="56"/>
    </row>
    <row r="21" spans="1:21">
      <c r="B21" s="256" t="s">
        <v>1215</v>
      </c>
      <c r="G21" s="343">
        <f ca="1">G10*G14*Chem!$C89/1000</f>
        <v>0</v>
      </c>
      <c r="H21" s="343">
        <f ca="1">H10*H14*Chem!$C89/1000</f>
        <v>0</v>
      </c>
      <c r="I21" s="343">
        <f ca="1">I10*I14*Chem!$C89/1000</f>
        <v>0</v>
      </c>
      <c r="J21" s="343">
        <f ca="1">J10*J14*Chem!$C89/1000</f>
        <v>0</v>
      </c>
      <c r="K21" s="343">
        <f ca="1">K10*K14*Chem!$C89/1000</f>
        <v>0</v>
      </c>
      <c r="L21" s="343">
        <f ca="1">L10*L14*Chem!$C89/1000</f>
        <v>0</v>
      </c>
      <c r="M21" s="343">
        <f ca="1">M10*M14*Chem!$C89/1000</f>
        <v>0</v>
      </c>
      <c r="O21" s="56"/>
      <c r="P21" s="56"/>
      <c r="Q21" s="56"/>
      <c r="R21" s="56"/>
      <c r="S21" s="56"/>
      <c r="T21" s="56"/>
      <c r="U21" s="56"/>
    </row>
    <row r="22" spans="1:21">
      <c r="A22" s="757" t="s">
        <v>991</v>
      </c>
      <c r="B22" s="256" t="s">
        <v>996</v>
      </c>
      <c r="G22" s="343">
        <f ca="1">G18/'Battery Design'!G209</f>
        <v>9.7980539216678361E-2</v>
      </c>
      <c r="H22" s="343">
        <f ca="1">H18/'Battery Design'!H209</f>
        <v>9.7980539216678361E-2</v>
      </c>
      <c r="I22" s="343">
        <f ca="1">I18/'Battery Design'!I209</f>
        <v>9.7980539216678361E-2</v>
      </c>
      <c r="J22" s="343">
        <f ca="1">J18/'Battery Design'!J209</f>
        <v>9.7980539216678361E-2</v>
      </c>
      <c r="K22" s="343">
        <f ca="1">K18/'Battery Design'!K209</f>
        <v>9.7980539216678361E-2</v>
      </c>
      <c r="L22" s="343">
        <f ca="1">L18/'Battery Design'!L209</f>
        <v>9.7980539216678361E-2</v>
      </c>
      <c r="M22" s="343">
        <f ca="1">M18/'Battery Design'!M209</f>
        <v>9.7980539216678361E-2</v>
      </c>
      <c r="O22" s="56"/>
      <c r="P22" s="56"/>
      <c r="Q22" s="56"/>
      <c r="R22" s="56"/>
      <c r="S22" s="56"/>
      <c r="T22" s="56"/>
      <c r="U22" s="56"/>
    </row>
    <row r="23" spans="1:21">
      <c r="A23" s="757" t="s">
        <v>991</v>
      </c>
      <c r="B23" s="256" t="s">
        <v>1216</v>
      </c>
      <c r="G23" s="343">
        <f ca="1">G19/'Battery Design'!G209</f>
        <v>0</v>
      </c>
      <c r="H23" s="343">
        <f ca="1">H19/'Battery Design'!H209</f>
        <v>0</v>
      </c>
      <c r="I23" s="343">
        <f ca="1">I19/'Battery Design'!I209</f>
        <v>0</v>
      </c>
      <c r="J23" s="343">
        <f ca="1">J19/'Battery Design'!J209</f>
        <v>0</v>
      </c>
      <c r="K23" s="343">
        <f ca="1">K19/'Battery Design'!K209</f>
        <v>0</v>
      </c>
      <c r="L23" s="343">
        <f ca="1">L19/'Battery Design'!L209</f>
        <v>0</v>
      </c>
      <c r="M23" s="343">
        <f ca="1">M19/'Battery Design'!M209</f>
        <v>0</v>
      </c>
      <c r="O23" s="56"/>
      <c r="P23" s="56"/>
      <c r="Q23" s="56"/>
      <c r="R23" s="56"/>
      <c r="S23" s="56"/>
      <c r="T23" s="56"/>
      <c r="U23" s="56"/>
    </row>
    <row r="24" spans="1:21">
      <c r="A24" s="757" t="s">
        <v>991</v>
      </c>
      <c r="B24" s="256" t="s">
        <v>1217</v>
      </c>
      <c r="G24" s="343">
        <f ca="1">G20/'Battery Design'!G209</f>
        <v>0</v>
      </c>
      <c r="H24" s="343">
        <f ca="1">H20/'Battery Design'!H209</f>
        <v>0</v>
      </c>
      <c r="I24" s="343">
        <f ca="1">I20/'Battery Design'!I209</f>
        <v>0</v>
      </c>
      <c r="J24" s="343">
        <f ca="1">J20/'Battery Design'!J209</f>
        <v>0</v>
      </c>
      <c r="K24" s="343">
        <f ca="1">K20/'Battery Design'!K209</f>
        <v>0</v>
      </c>
      <c r="L24" s="343">
        <f ca="1">L20/'Battery Design'!L209</f>
        <v>0</v>
      </c>
      <c r="M24" s="343">
        <f ca="1">M20/'Battery Design'!M209</f>
        <v>0</v>
      </c>
      <c r="O24" s="56"/>
      <c r="P24" s="56"/>
      <c r="Q24" s="56"/>
      <c r="R24" s="56"/>
      <c r="S24" s="56"/>
      <c r="T24" s="56"/>
      <c r="U24" s="56"/>
    </row>
    <row r="25" spans="1:21">
      <c r="A25" s="757" t="s">
        <v>991</v>
      </c>
      <c r="B25" s="256" t="s">
        <v>1218</v>
      </c>
      <c r="G25" s="343">
        <f ca="1">G21/'Battery Design'!G209</f>
        <v>0</v>
      </c>
      <c r="H25" s="343">
        <f ca="1">H21/'Battery Design'!H209</f>
        <v>0</v>
      </c>
      <c r="I25" s="343">
        <f ca="1">I21/'Battery Design'!I209</f>
        <v>0</v>
      </c>
      <c r="J25" s="343">
        <f ca="1">J21/'Battery Design'!J209</f>
        <v>0</v>
      </c>
      <c r="K25" s="343">
        <f ca="1">K21/'Battery Design'!K209</f>
        <v>0</v>
      </c>
      <c r="L25" s="343">
        <f ca="1">L21/'Battery Design'!L209</f>
        <v>0</v>
      </c>
      <c r="M25" s="343">
        <f ca="1">M21/'Battery Design'!M209</f>
        <v>0</v>
      </c>
      <c r="O25" s="56"/>
      <c r="P25" s="56"/>
      <c r="Q25" s="56"/>
      <c r="R25" s="56"/>
      <c r="S25" s="56"/>
      <c r="T25" s="56"/>
      <c r="U25" s="56"/>
    </row>
    <row r="26" spans="1:21">
      <c r="B26" s="255" t="s">
        <v>646</v>
      </c>
      <c r="O26" s="56"/>
      <c r="P26" s="56"/>
      <c r="Q26" s="56"/>
      <c r="R26" s="56"/>
      <c r="S26" s="56"/>
      <c r="T26" s="56"/>
      <c r="U26" s="56"/>
    </row>
    <row r="27" spans="1:21">
      <c r="B27" s="54" t="s">
        <v>162</v>
      </c>
      <c r="O27" s="56"/>
      <c r="P27" s="56"/>
      <c r="Q27" s="56"/>
      <c r="R27" s="56"/>
      <c r="S27" s="56"/>
      <c r="T27" s="56"/>
      <c r="U27" s="56"/>
    </row>
    <row r="28" spans="1:21">
      <c r="B28" s="256" t="s">
        <v>1219</v>
      </c>
      <c r="G28" s="30">
        <f ca="1">IF(Chem!$C$4=Chem!$Q$4,'Battery Design'!G21*'Battery Design'!$F21*'Battery Design'!$E21+'Battery Design'!G22*'Battery Design'!$F22*'Battery Design'!$E22,'Battery Design'!G21*'Battery Design'!$F21*'Battery Design'!$E21)/1000*G14</f>
        <v>16.283330822091997</v>
      </c>
      <c r="H28" s="30">
        <f ca="1">IF(Chem!$C$4=Chem!$Q$4,'Battery Design'!H21*'Battery Design'!$F21*'Battery Design'!$E21+'Battery Design'!H22*'Battery Design'!$F22*'Battery Design'!$E22,'Battery Design'!H21*'Battery Design'!$F21*'Battery Design'!$E21)/1000*H14</f>
        <v>16.283330822091997</v>
      </c>
      <c r="I28" s="30">
        <f ca="1">IF(Chem!$C$4=Chem!$Q$4,'Battery Design'!I21*'Battery Design'!$F21*'Battery Design'!$E21+'Battery Design'!I22*'Battery Design'!$F22*'Battery Design'!$E22,'Battery Design'!I21*'Battery Design'!$F21*'Battery Design'!$E21)/1000*I14</f>
        <v>16.283330822091997</v>
      </c>
      <c r="J28" s="30">
        <f ca="1">IF(Chem!$C$4=Chem!$Q$4,'Battery Design'!J21*'Battery Design'!$F21*'Battery Design'!$E21+'Battery Design'!J22*'Battery Design'!$F22*'Battery Design'!$E22,'Battery Design'!J21*'Battery Design'!$F21*'Battery Design'!$E21)/1000*J14</f>
        <v>16.283330822091997</v>
      </c>
      <c r="K28" s="30">
        <f ca="1">IF(Chem!$C$4=Chem!$Q$4,'Battery Design'!K21*'Battery Design'!$F21*'Battery Design'!$E21+'Battery Design'!K22*'Battery Design'!$F22*'Battery Design'!$E22,'Battery Design'!K21*'Battery Design'!$F21*'Battery Design'!$E21)/1000*K14</f>
        <v>16.283330822091997</v>
      </c>
      <c r="L28" s="30">
        <f ca="1">IF(Chem!$C$4=Chem!$Q$4,'Battery Design'!L21*'Battery Design'!$F21*'Battery Design'!$E21+'Battery Design'!L22*'Battery Design'!$F22*'Battery Design'!$E22,'Battery Design'!L21*'Battery Design'!$F21*'Battery Design'!$E21)/1000*L14</f>
        <v>16.283330822091997</v>
      </c>
      <c r="M28" s="30">
        <f ca="1">IF(Chem!$C$4=Chem!$Q$4,'Battery Design'!M21*'Battery Design'!$F21*'Battery Design'!$E21+'Battery Design'!M22*'Battery Design'!$F22*'Battery Design'!$E22,'Battery Design'!M21*'Battery Design'!$F21*'Battery Design'!$E21)/1000*M14</f>
        <v>16.283330822091997</v>
      </c>
      <c r="O28" s="56"/>
      <c r="P28" s="56"/>
      <c r="Q28" s="56"/>
      <c r="R28" s="56"/>
      <c r="S28" s="56"/>
      <c r="T28" s="56"/>
      <c r="U28" s="56"/>
    </row>
    <row r="29" spans="1:21">
      <c r="B29" s="256" t="s">
        <v>1220</v>
      </c>
      <c r="G29" s="30">
        <f ca="1">IF(Chem!$C$4=Chem!$Q$4,'Battery Design'!G25+'Battery Design'!G26,'Battery Design'!G25)/1000*G14</f>
        <v>3.7458364303482878</v>
      </c>
      <c r="H29" s="30">
        <f ca="1">IF(Chem!$C$4=Chem!$Q$4,'Battery Design'!H25+'Battery Design'!H26,'Battery Design'!H25)/1000*H14</f>
        <v>3.7458364303482878</v>
      </c>
      <c r="I29" s="30">
        <f ca="1">IF(Chem!$C$4=Chem!$Q$4,'Battery Design'!I25+'Battery Design'!I26,'Battery Design'!I25)/1000*I14</f>
        <v>3.7458364303482878</v>
      </c>
      <c r="J29" s="30">
        <f ca="1">IF(Chem!$C$4=Chem!$Q$4,'Battery Design'!J25+'Battery Design'!J26,'Battery Design'!J25)/1000*J14</f>
        <v>3.7458364303482878</v>
      </c>
      <c r="K29" s="30">
        <f ca="1">IF(Chem!$C$4=Chem!$Q$4,'Battery Design'!K25+'Battery Design'!K26,'Battery Design'!K25)/1000*K14</f>
        <v>3.7458364303482878</v>
      </c>
      <c r="L29" s="30">
        <f ca="1">IF(Chem!$C$4=Chem!$Q$4,'Battery Design'!L25+'Battery Design'!L26,'Battery Design'!L25)/1000*L14</f>
        <v>3.7458364303482878</v>
      </c>
      <c r="M29" s="30">
        <f ca="1">IF(Chem!$C$4=Chem!$Q$4,'Battery Design'!M25+'Battery Design'!M26,'Battery Design'!M25)/1000*M14</f>
        <v>3.7458364303482878</v>
      </c>
      <c r="O29" s="56"/>
      <c r="P29" s="56"/>
      <c r="Q29" s="56"/>
      <c r="R29" s="56"/>
      <c r="S29" s="56"/>
      <c r="T29" s="56"/>
      <c r="U29" s="56"/>
    </row>
    <row r="30" spans="1:21">
      <c r="B30" s="256" t="s">
        <v>1225</v>
      </c>
      <c r="G30" s="30">
        <f ca="1">'Battery Design'!G136/1000*G15</f>
        <v>12.430780228980531</v>
      </c>
      <c r="H30" s="30">
        <f ca="1">'Battery Design'!H136/1000*H15</f>
        <v>12.430780228980531</v>
      </c>
      <c r="I30" s="30">
        <f ca="1">'Battery Design'!I136/1000*I15</f>
        <v>12.430780228980531</v>
      </c>
      <c r="J30" s="30">
        <f ca="1">'Battery Design'!J136/1000*J15</f>
        <v>12.430780228980531</v>
      </c>
      <c r="K30" s="30">
        <f ca="1">'Battery Design'!K136/1000*K15</f>
        <v>12.430780228980531</v>
      </c>
      <c r="L30" s="30">
        <f ca="1">'Battery Design'!L136/1000*L15</f>
        <v>12.430780228980531</v>
      </c>
      <c r="M30" s="30">
        <f ca="1">'Battery Design'!M136/1000*M15</f>
        <v>12.430780228980531</v>
      </c>
      <c r="O30" s="56"/>
      <c r="P30" s="56"/>
      <c r="Q30" s="56"/>
      <c r="R30" s="56"/>
      <c r="S30" s="56"/>
      <c r="T30" s="56"/>
      <c r="U30" s="56"/>
    </row>
    <row r="31" spans="1:21">
      <c r="B31" s="256" t="s">
        <v>1221</v>
      </c>
      <c r="E31" s="163"/>
      <c r="G31" s="342">
        <f ca="1">'Battery Design'!G138/1000*G15</f>
        <v>9.3301583870207541</v>
      </c>
      <c r="H31" s="342">
        <f ca="1">'Battery Design'!H138/1000*H15</f>
        <v>9.3301583870207541</v>
      </c>
      <c r="I31" s="342">
        <f ca="1">'Battery Design'!I138/1000*I15</f>
        <v>9.3301583870207541</v>
      </c>
      <c r="J31" s="342">
        <f ca="1">'Battery Design'!J138/1000*J15</f>
        <v>9.3301583870207541</v>
      </c>
      <c r="K31" s="342">
        <f ca="1">'Battery Design'!K138/1000*K15</f>
        <v>9.3301583870207541</v>
      </c>
      <c r="L31" s="342">
        <f ca="1">'Battery Design'!L138/1000*L15</f>
        <v>9.3301583870207541</v>
      </c>
      <c r="M31" s="342">
        <f ca="1">'Battery Design'!M138/1000*M15</f>
        <v>9.3301583870207541</v>
      </c>
      <c r="O31" s="56"/>
      <c r="P31" s="56"/>
      <c r="Q31" s="56"/>
      <c r="R31" s="56"/>
      <c r="S31" s="56"/>
      <c r="T31" s="56"/>
      <c r="U31" s="56"/>
    </row>
    <row r="32" spans="1:21">
      <c r="B32" s="256" t="s">
        <v>1222</v>
      </c>
      <c r="E32" s="163"/>
      <c r="G32" s="342">
        <f ca="1">('Battery Design'!G78-'Battery Design'!G77)/10*'Battery Design'!G175*2.7/1000</f>
        <v>59.481207482362393</v>
      </c>
      <c r="H32" s="342">
        <f ca="1">('Battery Design'!H78-'Battery Design'!H77)/10*'Battery Design'!H175*2.7/1000</f>
        <v>59.481207482362393</v>
      </c>
      <c r="I32" s="342">
        <f ca="1">('Battery Design'!I78-'Battery Design'!I77)/10*'Battery Design'!I175*2.7/1000</f>
        <v>59.481207482362393</v>
      </c>
      <c r="J32" s="342">
        <f ca="1">('Battery Design'!J78-'Battery Design'!J77)/10*'Battery Design'!J175*2.7/1000</f>
        <v>59.481207482362393</v>
      </c>
      <c r="K32" s="342">
        <f ca="1">('Battery Design'!K78-'Battery Design'!K77)/10*'Battery Design'!K175*2.7/1000</f>
        <v>59.481207482362393</v>
      </c>
      <c r="L32" s="342">
        <f ca="1">('Battery Design'!L78-'Battery Design'!L77)/10*'Battery Design'!L175*2.7/1000</f>
        <v>59.481207482362393</v>
      </c>
      <c r="M32" s="342">
        <f ca="1">('Battery Design'!M78-'Battery Design'!M77)/10*'Battery Design'!M175*2.7/1000</f>
        <v>59.481207482362393</v>
      </c>
      <c r="O32" s="56"/>
      <c r="P32" s="56"/>
      <c r="Q32" s="56"/>
      <c r="R32" s="56"/>
      <c r="S32" s="56"/>
      <c r="T32" s="56"/>
      <c r="U32" s="56"/>
    </row>
    <row r="33" spans="1:21">
      <c r="B33" s="256" t="s">
        <v>1223</v>
      </c>
      <c r="E33" s="163"/>
      <c r="G33" s="342">
        <f t="shared" ref="G33:M33" ca="1" si="0">SUM(G28:G32)</f>
        <v>101.27131335080395</v>
      </c>
      <c r="H33" s="342">
        <f t="shared" ca="1" si="0"/>
        <v>101.27131335080395</v>
      </c>
      <c r="I33" s="342">
        <f t="shared" ca="1" si="0"/>
        <v>101.27131335080395</v>
      </c>
      <c r="J33" s="342">
        <f t="shared" ca="1" si="0"/>
        <v>101.27131335080395</v>
      </c>
      <c r="K33" s="342">
        <f t="shared" ca="1" si="0"/>
        <v>101.27131335080395</v>
      </c>
      <c r="L33" s="342">
        <f t="shared" ca="1" si="0"/>
        <v>101.27131335080395</v>
      </c>
      <c r="M33" s="342">
        <f t="shared" ca="1" si="0"/>
        <v>101.27131335080395</v>
      </c>
      <c r="O33" s="56"/>
      <c r="P33" s="56"/>
      <c r="Q33" s="56"/>
      <c r="R33" s="56"/>
      <c r="S33" s="56"/>
      <c r="T33" s="56"/>
      <c r="U33" s="56"/>
    </row>
    <row r="34" spans="1:21">
      <c r="A34" s="757" t="s">
        <v>991</v>
      </c>
      <c r="B34" s="256" t="s">
        <v>1224</v>
      </c>
      <c r="E34" s="163"/>
      <c r="G34" s="342">
        <f ca="1">G33/'Battery Design'!G209</f>
        <v>1.0127131335080399</v>
      </c>
      <c r="H34" s="342">
        <f ca="1">H33/'Battery Design'!H209</f>
        <v>1.0127131335080399</v>
      </c>
      <c r="I34" s="342">
        <f ca="1">I33/'Battery Design'!I209</f>
        <v>1.0127131335080399</v>
      </c>
      <c r="J34" s="342">
        <f ca="1">J33/'Battery Design'!J209</f>
        <v>1.0127131335080399</v>
      </c>
      <c r="K34" s="342">
        <f ca="1">K33/'Battery Design'!K209</f>
        <v>1.0127131335080399</v>
      </c>
      <c r="L34" s="342">
        <f ca="1">L33/'Battery Design'!L209</f>
        <v>1.0127131335080399</v>
      </c>
      <c r="M34" s="342">
        <f ca="1">M33/'Battery Design'!M209</f>
        <v>1.0127131335080399</v>
      </c>
      <c r="O34" s="56"/>
      <c r="P34" s="56"/>
      <c r="Q34" s="56"/>
      <c r="R34" s="56"/>
      <c r="S34" s="56"/>
      <c r="T34" s="56"/>
      <c r="U34" s="56"/>
    </row>
    <row r="35" spans="1:21">
      <c r="B35" s="54" t="s">
        <v>168</v>
      </c>
      <c r="E35" s="163"/>
      <c r="G35" s="79"/>
      <c r="H35" s="79"/>
      <c r="I35" s="79"/>
      <c r="J35" s="79"/>
      <c r="K35" s="79"/>
      <c r="L35" s="79"/>
      <c r="M35" s="79"/>
      <c r="O35" s="56"/>
      <c r="P35" s="56"/>
      <c r="Q35" s="56"/>
      <c r="R35" s="56"/>
      <c r="S35" s="56"/>
      <c r="T35" s="56"/>
      <c r="U35" s="56"/>
    </row>
    <row r="36" spans="1:21">
      <c r="B36" s="17" t="s">
        <v>1226</v>
      </c>
      <c r="E36" s="163"/>
      <c r="G36" s="30">
        <f ca="1">IF(Chem!$C$4=Chem!$Q$4,0,'Battery Design'!G22*'Battery Design'!$F22*'Battery Design'!$E22)/1000*G14</f>
        <v>37.985232633095706</v>
      </c>
      <c r="H36" s="30">
        <f ca="1">IF(Chem!$C$4=Chem!$Q$4,0,'Battery Design'!H22*'Battery Design'!$F22*'Battery Design'!$E22)/1000*H14</f>
        <v>37.985232633095706</v>
      </c>
      <c r="I36" s="30">
        <f ca="1">IF(Chem!$C$4=Chem!$Q$4,0,'Battery Design'!I22*'Battery Design'!$F22*'Battery Design'!$E22)/1000*I14</f>
        <v>37.985232633095706</v>
      </c>
      <c r="J36" s="30">
        <f ca="1">IF(Chem!$C$4=Chem!$Q$4,0,'Battery Design'!J22*'Battery Design'!$F22*'Battery Design'!$E22)/1000*J14</f>
        <v>37.985232633095706</v>
      </c>
      <c r="K36" s="30">
        <f ca="1">IF(Chem!$C$4=Chem!$Q$4,0,'Battery Design'!K22*'Battery Design'!$F22*'Battery Design'!$E22)/1000*K14</f>
        <v>37.985232633095706</v>
      </c>
      <c r="L36" s="30">
        <f ca="1">IF(Chem!$C$4=Chem!$Q$4,0,'Battery Design'!L22*'Battery Design'!$F22*'Battery Design'!$E22)/1000*L14</f>
        <v>37.985232633095706</v>
      </c>
      <c r="M36" s="30">
        <f ca="1">IF(Chem!$C$4=Chem!$Q$4,0,'Battery Design'!M22*'Battery Design'!$F22*'Battery Design'!$E22)/1000*M14</f>
        <v>37.985232633095706</v>
      </c>
      <c r="O36" s="56"/>
      <c r="P36" s="56"/>
      <c r="Q36" s="56"/>
      <c r="R36" s="56"/>
      <c r="S36" s="56"/>
      <c r="T36" s="56"/>
      <c r="U36" s="56"/>
    </row>
    <row r="37" spans="1:21">
      <c r="B37" s="256" t="s">
        <v>1227</v>
      </c>
      <c r="E37" s="163"/>
      <c r="G37" s="30">
        <f ca="1">IF(Chem!$C$4=Chem!$Q$4,0,'Battery Design'!G26)/1000*G14</f>
        <v>12.430627561452097</v>
      </c>
      <c r="H37" s="30">
        <f ca="1">IF(Chem!$C$4=Chem!$Q$4,0,'Battery Design'!H26)/1000*H14</f>
        <v>12.430627561452097</v>
      </c>
      <c r="I37" s="30">
        <f ca="1">IF(Chem!$C$4=Chem!$Q$4,0,'Battery Design'!I26)/1000*I14</f>
        <v>12.430627561452097</v>
      </c>
      <c r="J37" s="30">
        <f ca="1">IF(Chem!$C$4=Chem!$Q$4,0,'Battery Design'!J26)/1000*J14</f>
        <v>12.430627561452097</v>
      </c>
      <c r="K37" s="30">
        <f ca="1">IF(Chem!$C$4=Chem!$Q$4,0,'Battery Design'!K26)/1000*K14</f>
        <v>12.430627561452097</v>
      </c>
      <c r="L37" s="30">
        <f ca="1">IF(Chem!$C$4=Chem!$Q$4,0,'Battery Design'!L26)/1000*L14</f>
        <v>12.430627561452097</v>
      </c>
      <c r="M37" s="30">
        <f ca="1">IF(Chem!$C$4=Chem!$Q$4,0,'Battery Design'!M26)/1000*M14</f>
        <v>12.430627561452097</v>
      </c>
      <c r="O37" s="56"/>
      <c r="P37" s="56"/>
      <c r="Q37" s="56"/>
      <c r="R37" s="56"/>
      <c r="S37" s="56"/>
      <c r="T37" s="56"/>
      <c r="U37" s="56"/>
    </row>
    <row r="38" spans="1:21">
      <c r="B38" s="256" t="s">
        <v>1228</v>
      </c>
      <c r="E38" s="163"/>
      <c r="G38" s="344">
        <f ca="1">'Battery Design'!G125*'Battery Design'!G68/'Battery Design'!G69/1000*G15</f>
        <v>3.7298849683206954</v>
      </c>
      <c r="H38" s="344">
        <f ca="1">'Battery Design'!H125*'Battery Design'!H68/'Battery Design'!H69/1000*H15</f>
        <v>3.7298849683206954</v>
      </c>
      <c r="I38" s="344">
        <f ca="1">'Battery Design'!I125*'Battery Design'!I68/'Battery Design'!I69/1000*I15</f>
        <v>3.7298849683206954</v>
      </c>
      <c r="J38" s="344">
        <f ca="1">'Battery Design'!J125*'Battery Design'!J68/'Battery Design'!J69/1000*J15</f>
        <v>3.7298849683206954</v>
      </c>
      <c r="K38" s="344">
        <f ca="1">'Battery Design'!K125*'Battery Design'!K68/'Battery Design'!K69/1000*K15</f>
        <v>3.7298849683206954</v>
      </c>
      <c r="L38" s="344">
        <f ca="1">'Battery Design'!L125*'Battery Design'!L68/'Battery Design'!L69/1000*L15</f>
        <v>3.7298849683206954</v>
      </c>
      <c r="M38" s="344">
        <f ca="1">'Battery Design'!M125*'Battery Design'!M68/'Battery Design'!M69/1000*M15</f>
        <v>3.7298849683206954</v>
      </c>
      <c r="O38" s="56"/>
      <c r="P38" s="56"/>
      <c r="Q38" s="56"/>
      <c r="R38" s="56"/>
      <c r="S38" s="56"/>
      <c r="T38" s="56"/>
      <c r="U38" s="56"/>
    </row>
    <row r="39" spans="1:21">
      <c r="B39" s="256" t="s">
        <v>1229</v>
      </c>
      <c r="E39" s="163"/>
      <c r="G39" s="342">
        <f ca="1">'Battery Design'!G72*'Battery Design'!G129*0.8/1000</f>
        <v>2.2597352222561566</v>
      </c>
      <c r="H39" s="342">
        <f ca="1">'Battery Design'!H72*'Battery Design'!H129*0.8/1000</f>
        <v>2.2597352222561566</v>
      </c>
      <c r="I39" s="342">
        <f ca="1">'Battery Design'!I72*'Battery Design'!I129*0.8/1000</f>
        <v>2.2597352222561566</v>
      </c>
      <c r="J39" s="342">
        <f ca="1">'Battery Design'!J72*'Battery Design'!J129*0.8/1000</f>
        <v>2.2597352222561566</v>
      </c>
      <c r="K39" s="342">
        <f ca="1">'Battery Design'!K72*'Battery Design'!K129*0.8/1000</f>
        <v>2.2597352222561566</v>
      </c>
      <c r="L39" s="342">
        <f ca="1">'Battery Design'!L72*'Battery Design'!L129*0.8/1000</f>
        <v>2.2597352222561566</v>
      </c>
      <c r="M39" s="342">
        <f ca="1">'Battery Design'!M72*'Battery Design'!M129*0.8/1000</f>
        <v>2.2597352222561566</v>
      </c>
      <c r="O39" s="56"/>
      <c r="P39" s="56"/>
      <c r="Q39" s="56"/>
      <c r="R39" s="56"/>
      <c r="S39" s="56"/>
      <c r="T39" s="56"/>
      <c r="U39" s="56"/>
    </row>
    <row r="40" spans="1:21">
      <c r="B40" s="256" t="s">
        <v>1230</v>
      </c>
      <c r="E40" s="163"/>
      <c r="G40" s="342">
        <f ca="1">((('Battery Design'!G72+1)*'Battery Design'!G166)+'Battery Design'!G168)/1000</f>
        <v>3.5590829750534461</v>
      </c>
      <c r="H40" s="342">
        <f ca="1">((('Battery Design'!H72+1)*'Battery Design'!H166)+'Battery Design'!H168)/1000</f>
        <v>3.5590829750534461</v>
      </c>
      <c r="I40" s="342">
        <f ca="1">((('Battery Design'!I72+1)*'Battery Design'!I166)+'Battery Design'!I168)/1000</f>
        <v>3.5590829750534461</v>
      </c>
      <c r="J40" s="342">
        <f ca="1">((('Battery Design'!J72+1)*'Battery Design'!J166)+'Battery Design'!J168)/1000</f>
        <v>3.5590829750534461</v>
      </c>
      <c r="K40" s="342">
        <f ca="1">((('Battery Design'!K72+1)*'Battery Design'!K166)+'Battery Design'!K168)/1000</f>
        <v>3.5590829750534461</v>
      </c>
      <c r="L40" s="342">
        <f ca="1">((('Battery Design'!L72+1)*'Battery Design'!L166)+'Battery Design'!L168)/1000</f>
        <v>3.5590829750534461</v>
      </c>
      <c r="M40" s="342">
        <f ca="1">((('Battery Design'!M72+1)*'Battery Design'!M166)+'Battery Design'!M168)/1000</f>
        <v>3.5590829750534461</v>
      </c>
      <c r="O40" s="56"/>
      <c r="P40" s="56"/>
      <c r="Q40" s="56"/>
      <c r="R40" s="56"/>
      <c r="S40" s="56"/>
      <c r="T40" s="56"/>
      <c r="U40" s="56"/>
    </row>
    <row r="41" spans="1:21">
      <c r="B41" s="256" t="s">
        <v>1231</v>
      </c>
      <c r="E41" s="163"/>
      <c r="G41" s="342">
        <f ca="1">'Battery Design'!G171*0.75/1000</f>
        <v>0.24211448809887395</v>
      </c>
      <c r="H41" s="342">
        <f ca="1">'Battery Design'!H171*0.75/1000</f>
        <v>0.24211448809887395</v>
      </c>
      <c r="I41" s="342">
        <f ca="1">'Battery Design'!I171*0.75/1000</f>
        <v>0.24211448809887395</v>
      </c>
      <c r="J41" s="342">
        <f ca="1">'Battery Design'!J171*0.75/1000</f>
        <v>0.24211448809887395</v>
      </c>
      <c r="K41" s="342">
        <f ca="1">'Battery Design'!K171*0.75/1000</f>
        <v>0.24211448809887395</v>
      </c>
      <c r="L41" s="342">
        <f ca="1">'Battery Design'!L171*0.75/1000</f>
        <v>0.24211448809887395</v>
      </c>
      <c r="M41" s="342">
        <f ca="1">'Battery Design'!M171*0.75/1000</f>
        <v>0.24211448809887395</v>
      </c>
      <c r="O41" s="56"/>
      <c r="P41" s="56"/>
      <c r="Q41" s="56"/>
      <c r="R41" s="56"/>
      <c r="S41" s="56"/>
      <c r="T41" s="56"/>
      <c r="U41" s="56"/>
    </row>
    <row r="42" spans="1:21">
      <c r="B42" s="256" t="s">
        <v>1232</v>
      </c>
      <c r="E42" s="163"/>
      <c r="G42" s="342">
        <f t="shared" ref="G42:M42" ca="1" si="1">SUM(G36:G41)</f>
        <v>60.206677848276975</v>
      </c>
      <c r="H42" s="342">
        <f t="shared" ca="1" si="1"/>
        <v>60.206677848276975</v>
      </c>
      <c r="I42" s="342">
        <f t="shared" ca="1" si="1"/>
        <v>60.206677848276975</v>
      </c>
      <c r="J42" s="342">
        <f t="shared" ca="1" si="1"/>
        <v>60.206677848276975</v>
      </c>
      <c r="K42" s="342">
        <f t="shared" ca="1" si="1"/>
        <v>60.206677848276975</v>
      </c>
      <c r="L42" s="342">
        <f t="shared" ca="1" si="1"/>
        <v>60.206677848276975</v>
      </c>
      <c r="M42" s="342">
        <f t="shared" ca="1" si="1"/>
        <v>60.206677848276975</v>
      </c>
      <c r="O42" s="56"/>
      <c r="P42" s="56"/>
      <c r="Q42" s="56"/>
      <c r="R42" s="56"/>
      <c r="S42" s="56"/>
      <c r="T42" s="56"/>
      <c r="U42" s="56"/>
    </row>
    <row r="43" spans="1:21">
      <c r="A43" s="757" t="s">
        <v>991</v>
      </c>
      <c r="B43" s="256" t="s">
        <v>1233</v>
      </c>
      <c r="E43" s="163"/>
      <c r="G43" s="342">
        <f ca="1">G42/'Battery Design'!G209</f>
        <v>0.60206677848277002</v>
      </c>
      <c r="H43" s="342">
        <f ca="1">H42/'Battery Design'!H209</f>
        <v>0.60206677848277002</v>
      </c>
      <c r="I43" s="342">
        <f ca="1">I42/'Battery Design'!I209</f>
        <v>0.60206677848277002</v>
      </c>
      <c r="J43" s="342">
        <f ca="1">J42/'Battery Design'!J209</f>
        <v>0.60206677848277002</v>
      </c>
      <c r="K43" s="342">
        <f ca="1">K42/'Battery Design'!K209</f>
        <v>0.60206677848277002</v>
      </c>
      <c r="L43" s="342">
        <f ca="1">L42/'Battery Design'!L209</f>
        <v>0.60206677848277002</v>
      </c>
      <c r="M43" s="342">
        <f ca="1">M42/'Battery Design'!M209</f>
        <v>0.60206677848277002</v>
      </c>
      <c r="O43" s="56"/>
      <c r="P43" s="56"/>
      <c r="Q43" s="56"/>
      <c r="R43" s="56"/>
      <c r="S43" s="56"/>
      <c r="T43" s="56"/>
      <c r="U43" s="56"/>
    </row>
    <row r="44" spans="1:21">
      <c r="B44" s="256" t="s">
        <v>713</v>
      </c>
      <c r="E44" s="163"/>
      <c r="G44" s="342">
        <f ca="1">'Battery Design'!G167/1000</f>
        <v>2.2820106047817723</v>
      </c>
      <c r="H44" s="342">
        <f ca="1">'Battery Design'!H167/1000</f>
        <v>2.2820106047817723</v>
      </c>
      <c r="I44" s="342">
        <f ca="1">'Battery Design'!I167/1000</f>
        <v>2.2820106047817723</v>
      </c>
      <c r="J44" s="342">
        <f ca="1">'Battery Design'!J167/1000</f>
        <v>2.2820106047817723</v>
      </c>
      <c r="K44" s="342">
        <f ca="1">'Battery Design'!K167/1000</f>
        <v>2.2820106047817723</v>
      </c>
      <c r="L44" s="342">
        <f ca="1">'Battery Design'!L167/1000</f>
        <v>2.2820106047817723</v>
      </c>
      <c r="M44" s="342">
        <f ca="1">'Battery Design'!M167/1000</f>
        <v>2.2820106047817723</v>
      </c>
      <c r="O44" s="56"/>
      <c r="P44" s="56"/>
      <c r="Q44" s="56"/>
      <c r="R44" s="56"/>
      <c r="S44" s="56"/>
      <c r="T44" s="56"/>
      <c r="U44" s="56"/>
    </row>
    <row r="45" spans="1:21">
      <c r="B45" s="256" t="s">
        <v>714</v>
      </c>
      <c r="E45" s="163"/>
      <c r="G45" s="342">
        <f t="shared" ref="G45:M45" ca="1" si="2">G18+G19+G20+G21+G33+G42+G44</f>
        <v>173.55805572553052</v>
      </c>
      <c r="H45" s="342">
        <f t="shared" ca="1" si="2"/>
        <v>173.55805572553052</v>
      </c>
      <c r="I45" s="342">
        <f t="shared" ca="1" si="2"/>
        <v>173.55805572553052</v>
      </c>
      <c r="J45" s="342">
        <f t="shared" ca="1" si="2"/>
        <v>173.55805572553052</v>
      </c>
      <c r="K45" s="342">
        <f t="shared" ca="1" si="2"/>
        <v>173.55805572553052</v>
      </c>
      <c r="L45" s="342">
        <f t="shared" ca="1" si="2"/>
        <v>173.55805572553052</v>
      </c>
      <c r="M45" s="342">
        <f t="shared" ca="1" si="2"/>
        <v>173.55805572553052</v>
      </c>
      <c r="O45" s="56"/>
      <c r="P45" s="56"/>
      <c r="Q45" s="56"/>
      <c r="R45" s="56"/>
      <c r="S45" s="56"/>
      <c r="T45" s="56"/>
      <c r="U45" s="56"/>
    </row>
    <row r="46" spans="1:21" ht="16">
      <c r="B46" s="13" t="s">
        <v>647</v>
      </c>
      <c r="E46" s="163"/>
      <c r="G46" s="79"/>
      <c r="H46" s="79"/>
      <c r="I46" s="79"/>
      <c r="J46" s="79"/>
      <c r="K46" s="79"/>
      <c r="L46" s="79"/>
      <c r="M46" s="79"/>
      <c r="O46" s="56"/>
      <c r="P46" s="56"/>
      <c r="Q46" s="56"/>
      <c r="R46" s="56"/>
      <c r="S46" s="56"/>
      <c r="T46" s="56"/>
      <c r="U46" s="56"/>
    </row>
    <row r="47" spans="1:21">
      <c r="B47" s="256" t="s">
        <v>715</v>
      </c>
      <c r="E47" s="163"/>
      <c r="G47" s="342">
        <f ca="1">IF(Chem!$C4=Chem!$Q4,'Battery Design'!G10+'Battery Design'!G16,'Battery Design'!G10+'Battery Design'!G15)*G14/1000</f>
        <v>14.407029431769963</v>
      </c>
      <c r="H47" s="342">
        <f ca="1">IF(Chem!$C4=Chem!$Q4,'Battery Design'!H10+'Battery Design'!H16,'Battery Design'!H10+'Battery Design'!H15)*H14/1000</f>
        <v>14.407029431769963</v>
      </c>
      <c r="I47" s="342">
        <f ca="1">IF(Chem!$C4=Chem!$Q4,'Battery Design'!I10+'Battery Design'!I16,'Battery Design'!I10+'Battery Design'!I15)*I14/1000</f>
        <v>14.407029431769963</v>
      </c>
      <c r="J47" s="342">
        <f ca="1">IF(Chem!$C4=Chem!$Q4,'Battery Design'!J10+'Battery Design'!J16,'Battery Design'!J10+'Battery Design'!J15)*J14/1000</f>
        <v>14.407029431769963</v>
      </c>
      <c r="K47" s="342">
        <f ca="1">IF(Chem!$C4=Chem!$Q4,'Battery Design'!K10+'Battery Design'!K16,'Battery Design'!K10+'Battery Design'!K15)*K14/1000</f>
        <v>14.407029431769963</v>
      </c>
      <c r="L47" s="342">
        <f ca="1">IF(Chem!$C4=Chem!$Q4,'Battery Design'!L10+'Battery Design'!L16,'Battery Design'!L10+'Battery Design'!L15)*L14/1000</f>
        <v>14.407029431769963</v>
      </c>
      <c r="M47" s="342">
        <f ca="1">IF(Chem!$C4=Chem!$Q4,'Battery Design'!M10+'Battery Design'!M16,'Battery Design'!M10+'Battery Design'!M15)*M14/1000</f>
        <v>14.407029431769963</v>
      </c>
      <c r="O47" s="56"/>
      <c r="P47" s="56"/>
      <c r="Q47" s="56"/>
      <c r="R47" s="56"/>
      <c r="S47" s="56"/>
      <c r="T47" s="56"/>
      <c r="U47" s="56"/>
    </row>
    <row r="48" spans="1:21">
      <c r="B48" s="256" t="s">
        <v>716</v>
      </c>
      <c r="E48" s="163"/>
      <c r="G48" s="342">
        <f ca="1">('Battery Design'!G13+'Battery Design'!G19)*G14/1000-(G18-G13*G14/1000+G19+G20+G21+G47)</f>
        <v>201.05697530132463</v>
      </c>
      <c r="H48" s="342">
        <f ca="1">('Battery Design'!H13+'Battery Design'!H19)*H14/1000-(H18-H13*H14/1000+H19+H20+H21+H47)</f>
        <v>201.05697530132463</v>
      </c>
      <c r="I48" s="342">
        <f ca="1">('Battery Design'!I13+'Battery Design'!I19)*I14/1000-(I18-I13*I14/1000+I19+I20+I21+I47)</f>
        <v>201.05697530132463</v>
      </c>
      <c r="J48" s="342">
        <f ca="1">('Battery Design'!J13+'Battery Design'!J19)*J14/1000-(J18-J13*J14/1000+J19+J20+J21+J47)</f>
        <v>201.05697530132463</v>
      </c>
      <c r="K48" s="342">
        <f ca="1">('Battery Design'!K13+'Battery Design'!K19)*K14/1000-(K18-K13*K14/1000+K19+K20+K21+K47)</f>
        <v>201.05697530132463</v>
      </c>
      <c r="L48" s="342">
        <f ca="1">('Battery Design'!L13+'Battery Design'!L19)*L14/1000-(L18-L13*L14/1000+L19+L20+L21+L47)</f>
        <v>201.05697530132463</v>
      </c>
      <c r="M48" s="342">
        <f ca="1">('Battery Design'!M13+'Battery Design'!M19)*M14/1000-(M18-M13*M14/1000+M19+M20+M21+M47)</f>
        <v>201.05697530132463</v>
      </c>
      <c r="O48" s="56"/>
      <c r="P48" s="56"/>
      <c r="Q48" s="56"/>
      <c r="R48" s="56"/>
      <c r="S48" s="56"/>
      <c r="T48" s="56"/>
      <c r="U48" s="56"/>
    </row>
    <row r="49" spans="2:21">
      <c r="B49" s="256" t="s">
        <v>717</v>
      </c>
      <c r="E49" s="163"/>
      <c r="G49" s="342">
        <f ca="1">(G12*'Battery Design'!$F24*1000-G13)*G14/1000</f>
        <v>41.43161461897315</v>
      </c>
      <c r="H49" s="342">
        <f ca="1">(H12*'Battery Design'!$F24*1000-H13)*H14/1000</f>
        <v>41.43161461897315</v>
      </c>
      <c r="I49" s="342">
        <f ca="1">(I12*'Battery Design'!$F24*1000-I13)*I14/1000</f>
        <v>41.43161461897315</v>
      </c>
      <c r="J49" s="342">
        <f ca="1">(J12*'Battery Design'!$F24*1000-J13)*J14/1000</f>
        <v>41.43161461897315</v>
      </c>
      <c r="K49" s="342">
        <f ca="1">(K12*'Battery Design'!$F24*1000-K13)*K14/1000</f>
        <v>41.43161461897315</v>
      </c>
      <c r="L49" s="342">
        <f ca="1">(L12*'Battery Design'!$F24*1000-L13)*L14/1000</f>
        <v>41.43161461897315</v>
      </c>
      <c r="M49" s="342">
        <f ca="1">(M12*'Battery Design'!$F24*1000-M13)*M14/1000</f>
        <v>41.43161461897315</v>
      </c>
      <c r="O49" s="56"/>
      <c r="P49" s="56"/>
      <c r="Q49" s="56"/>
      <c r="R49" s="56"/>
      <c r="S49" s="56"/>
      <c r="T49" s="56"/>
      <c r="U49" s="56"/>
    </row>
    <row r="50" spans="2:21">
      <c r="B50" s="256" t="s">
        <v>718</v>
      </c>
      <c r="E50" s="163"/>
      <c r="G50" s="342">
        <f ca="1">'Battery Design'!G23*'Battery Design'!$F23*'Battery Design'!$E23*G14/1000</f>
        <v>78.956751320688213</v>
      </c>
      <c r="H50" s="342">
        <f ca="1">'Battery Design'!H23*'Battery Design'!$F23*'Battery Design'!$E23*H14/1000</f>
        <v>78.956751320688213</v>
      </c>
      <c r="I50" s="342">
        <f ca="1">'Battery Design'!I23*'Battery Design'!$F23*'Battery Design'!$E23*I14/1000</f>
        <v>78.956751320688213</v>
      </c>
      <c r="J50" s="342">
        <f ca="1">'Battery Design'!J23*'Battery Design'!$F23*'Battery Design'!$E23*J14/1000</f>
        <v>78.956751320688213</v>
      </c>
      <c r="K50" s="342">
        <f ca="1">'Battery Design'!K23*'Battery Design'!$F23*'Battery Design'!$E23*K14/1000</f>
        <v>78.956751320688213</v>
      </c>
      <c r="L50" s="342">
        <f ca="1">'Battery Design'!L23*'Battery Design'!$F23*'Battery Design'!$E23*L14/1000</f>
        <v>78.956751320688213</v>
      </c>
      <c r="M50" s="342">
        <f ca="1">'Battery Design'!M23*'Battery Design'!$F23*'Battery Design'!$E23*M14/1000</f>
        <v>78.956751320688213</v>
      </c>
      <c r="O50" s="56"/>
      <c r="P50" s="56"/>
      <c r="Q50" s="56"/>
      <c r="R50" s="56"/>
      <c r="S50" s="56"/>
      <c r="T50" s="56"/>
      <c r="U50" s="56"/>
    </row>
    <row r="51" spans="2:21">
      <c r="B51" s="256" t="s">
        <v>719</v>
      </c>
      <c r="E51" s="163"/>
      <c r="G51" s="342">
        <f ca="1">'Battery Design'!G30*'Battery Design'!G74/1000</f>
        <v>8.4546798525198295</v>
      </c>
      <c r="H51" s="342">
        <f ca="1">'Battery Design'!H30*'Battery Design'!H74/1000</f>
        <v>8.4546798525198295</v>
      </c>
      <c r="I51" s="342">
        <f ca="1">'Battery Design'!I30*'Battery Design'!I74/1000</f>
        <v>8.4546798525198295</v>
      </c>
      <c r="J51" s="342">
        <f ca="1">'Battery Design'!J30*'Battery Design'!J74/1000</f>
        <v>8.4546798525198295</v>
      </c>
      <c r="K51" s="342">
        <f ca="1">'Battery Design'!K30*'Battery Design'!K74/1000</f>
        <v>8.4546798525198295</v>
      </c>
      <c r="L51" s="342">
        <f ca="1">'Battery Design'!L30*'Battery Design'!L74/1000</f>
        <v>8.4546798525198295</v>
      </c>
      <c r="M51" s="342">
        <f ca="1">'Battery Design'!M30*'Battery Design'!M74/1000</f>
        <v>8.4546798525198295</v>
      </c>
      <c r="O51" s="56"/>
      <c r="P51" s="56"/>
      <c r="Q51" s="56"/>
      <c r="R51" s="56"/>
      <c r="S51" s="56"/>
      <c r="T51" s="56"/>
      <c r="U51" s="56"/>
    </row>
    <row r="52" spans="2:21">
      <c r="B52" s="256" t="s">
        <v>720</v>
      </c>
      <c r="E52" s="163"/>
      <c r="G52" s="342">
        <f ca="1">'Battery Design'!G77/10*'Battery Design'!G175*0.032/1000</f>
        <v>1.7624061476255519</v>
      </c>
      <c r="H52" s="342">
        <f ca="1">'Battery Design'!H77/10*'Battery Design'!H175*0.032/1000</f>
        <v>1.7624061476255519</v>
      </c>
      <c r="I52" s="342">
        <f ca="1">'Battery Design'!I77/10*'Battery Design'!I175*0.032/1000</f>
        <v>1.7624061476255519</v>
      </c>
      <c r="J52" s="342">
        <f ca="1">'Battery Design'!J77/10*'Battery Design'!J175*0.032/1000</f>
        <v>1.7624061476255519</v>
      </c>
      <c r="K52" s="342">
        <f ca="1">'Battery Design'!K77/10*'Battery Design'!K175*0.032/1000</f>
        <v>1.7624061476255519</v>
      </c>
      <c r="L52" s="342">
        <f ca="1">'Battery Design'!L77/10*'Battery Design'!L175*0.032/1000</f>
        <v>1.7624061476255519</v>
      </c>
      <c r="M52" s="342">
        <f ca="1">'Battery Design'!M77/10*'Battery Design'!M175*0.032/1000</f>
        <v>1.7624061476255519</v>
      </c>
      <c r="O52" s="56"/>
      <c r="P52" s="56"/>
      <c r="Q52" s="56"/>
      <c r="R52" s="56"/>
      <c r="S52" s="56"/>
      <c r="T52" s="56"/>
      <c r="U52" s="56"/>
    </row>
    <row r="53" spans="2:21">
      <c r="B53" s="256" t="s">
        <v>721</v>
      </c>
      <c r="E53" s="163"/>
      <c r="G53" s="342">
        <f ca="1">'Battery Design'!G174</f>
        <v>19.473534422481723</v>
      </c>
      <c r="H53" s="342">
        <f ca="1">'Battery Design'!H174</f>
        <v>19.473534422481723</v>
      </c>
      <c r="I53" s="342">
        <f ca="1">'Battery Design'!I174</f>
        <v>19.473534422481723</v>
      </c>
      <c r="J53" s="342">
        <f ca="1">'Battery Design'!J174</f>
        <v>19.473534422481723</v>
      </c>
      <c r="K53" s="342">
        <f ca="1">'Battery Design'!K174</f>
        <v>19.473534422481723</v>
      </c>
      <c r="L53" s="342">
        <f ca="1">'Battery Design'!L174</f>
        <v>19.473534422481723</v>
      </c>
      <c r="M53" s="342">
        <f ca="1">'Battery Design'!M174</f>
        <v>19.473534422481723</v>
      </c>
      <c r="O53" s="56"/>
      <c r="P53" s="56"/>
      <c r="Q53" s="56"/>
      <c r="R53" s="56"/>
      <c r="S53" s="56"/>
      <c r="T53" s="56"/>
      <c r="U53" s="56"/>
    </row>
    <row r="54" spans="2:21">
      <c r="B54" s="256" t="s">
        <v>722</v>
      </c>
      <c r="E54" s="163"/>
      <c r="G54" s="342">
        <f ca="1">('Battery Design'!G129*G15/1000-G39)+('Battery Design'!G171/1000-G41)+'Battery Design'!G126*G15/1000+'Battery Design'!G137*G15/1000+'Battery Design'!G173</f>
        <v>2.4169794609321489</v>
      </c>
      <c r="H54" s="342">
        <f ca="1">('Battery Design'!H129*H15/1000-H39)+('Battery Design'!H171/1000-H41)+'Battery Design'!H126*H15/1000+'Battery Design'!H137*H15/1000+'Battery Design'!H173</f>
        <v>2.4169794609321489</v>
      </c>
      <c r="I54" s="342">
        <f ca="1">('Battery Design'!I129*I15/1000-I39)+('Battery Design'!I171/1000-I41)+'Battery Design'!I126*I15/1000+'Battery Design'!I137*I15/1000+'Battery Design'!I173</f>
        <v>2.4169794609321489</v>
      </c>
      <c r="J54" s="342">
        <f ca="1">('Battery Design'!J129*J15/1000-J39)+('Battery Design'!J171/1000-J41)+'Battery Design'!J126*J15/1000+'Battery Design'!J137*J15/1000+'Battery Design'!J173</f>
        <v>2.4169794609321489</v>
      </c>
      <c r="K54" s="342">
        <f ca="1">('Battery Design'!K129*K15/1000-K39)+('Battery Design'!K171/1000-K41)+'Battery Design'!K126*K15/1000+'Battery Design'!K137*K15/1000+'Battery Design'!K173</f>
        <v>2.4169794609321489</v>
      </c>
      <c r="L54" s="342">
        <f ca="1">('Battery Design'!L129*L15/1000-L39)+('Battery Design'!L171/1000-L41)+'Battery Design'!L126*L15/1000+'Battery Design'!L137*L15/1000+'Battery Design'!L173</f>
        <v>2.4169794609321489</v>
      </c>
      <c r="M54" s="342">
        <f ca="1">('Battery Design'!M129*M15/1000-M39)+('Battery Design'!M171/1000-M41)+'Battery Design'!M126*M15/1000+'Battery Design'!M137*M15/1000+'Battery Design'!M173</f>
        <v>2.4169794609321489</v>
      </c>
      <c r="O54" s="56"/>
      <c r="P54" s="56"/>
      <c r="Q54" s="56"/>
      <c r="R54" s="56"/>
      <c r="S54" s="56"/>
      <c r="T54" s="56"/>
      <c r="U54" s="56"/>
    </row>
    <row r="55" spans="2:21">
      <c r="B55" s="256" t="s">
        <v>723</v>
      </c>
      <c r="E55" s="163"/>
      <c r="G55" s="30">
        <f t="shared" ref="G55:M55" ca="1" si="3">SUM(G45:G54)</f>
        <v>541.51802628184578</v>
      </c>
      <c r="H55" s="30">
        <f t="shared" ca="1" si="3"/>
        <v>541.51802628184578</v>
      </c>
      <c r="I55" s="30">
        <f t="shared" ca="1" si="3"/>
        <v>541.51802628184578</v>
      </c>
      <c r="J55" s="81">
        <f t="shared" ca="1" si="3"/>
        <v>541.51802628184578</v>
      </c>
      <c r="K55" s="81">
        <f t="shared" ca="1" si="3"/>
        <v>541.51802628184578</v>
      </c>
      <c r="L55" s="81">
        <f t="shared" ca="1" si="3"/>
        <v>541.51802628184578</v>
      </c>
      <c r="M55" s="81">
        <f t="shared" ca="1" si="3"/>
        <v>541.51802628184578</v>
      </c>
      <c r="O55" s="56"/>
      <c r="P55" s="56"/>
      <c r="Q55" s="56"/>
      <c r="R55" s="56"/>
      <c r="S55" s="56"/>
      <c r="T55" s="56"/>
      <c r="U55" s="56"/>
    </row>
    <row r="56" spans="2:21">
      <c r="B56" s="256"/>
      <c r="G56" s="345"/>
      <c r="H56" s="345"/>
      <c r="I56" s="345"/>
      <c r="J56" s="345"/>
      <c r="K56" s="345"/>
      <c r="L56" s="345"/>
      <c r="M56" s="345"/>
    </row>
    <row r="57" spans="2:21">
      <c r="B57" s="256"/>
      <c r="G57" s="79"/>
      <c r="H57" s="79"/>
      <c r="I57" s="79"/>
      <c r="J57" s="79"/>
      <c r="K57" s="79"/>
      <c r="L57" s="79"/>
      <c r="M57" s="79"/>
    </row>
    <row r="58" spans="2:21">
      <c r="F58" s="256"/>
      <c r="G58" s="60"/>
    </row>
    <row r="59" spans="2:21">
      <c r="B59" s="256"/>
      <c r="J59" s="30"/>
      <c r="K59" s="30"/>
      <c r="L59" s="30"/>
      <c r="M59" s="30"/>
    </row>
    <row r="60" spans="2:21">
      <c r="B60" s="256"/>
      <c r="G60" s="79"/>
      <c r="H60" s="79"/>
      <c r="I60" s="79"/>
      <c r="J60" s="79"/>
      <c r="K60" s="79"/>
    </row>
    <row r="61" spans="2:21">
      <c r="B61" s="256"/>
      <c r="G61" s="79"/>
      <c r="H61" s="79"/>
      <c r="I61" s="79"/>
      <c r="J61" s="79"/>
      <c r="K61" s="79"/>
    </row>
    <row r="62" spans="2:21">
      <c r="B62" s="256"/>
      <c r="G62" s="79"/>
      <c r="H62" s="79"/>
      <c r="I62" s="79"/>
      <c r="J62" s="79"/>
      <c r="K62" s="79"/>
    </row>
    <row r="63" spans="2:21">
      <c r="B63" s="256"/>
      <c r="G63" s="79"/>
      <c r="H63" s="79"/>
      <c r="I63" s="79"/>
      <c r="J63" s="79"/>
      <c r="K63" s="79"/>
    </row>
    <row r="64" spans="2:21">
      <c r="B64" s="256"/>
      <c r="G64" s="79"/>
      <c r="H64" s="79"/>
      <c r="I64" s="79"/>
      <c r="J64" s="79"/>
      <c r="K64" s="79"/>
    </row>
    <row r="65" spans="2:11">
      <c r="B65" s="256"/>
      <c r="G65" s="80"/>
      <c r="H65" s="80"/>
      <c r="I65" s="80"/>
      <c r="J65" s="80"/>
      <c r="K65" s="80"/>
    </row>
    <row r="66" spans="2:11">
      <c r="B66" s="256"/>
      <c r="H66" s="79"/>
      <c r="I66" s="79"/>
      <c r="J66" s="79"/>
      <c r="K66" s="79"/>
    </row>
    <row r="67" spans="2:11">
      <c r="B67" s="171"/>
      <c r="C67" s="74"/>
      <c r="D67" s="74"/>
      <c r="E67" s="74"/>
      <c r="F67" s="74"/>
      <c r="G67" s="207"/>
      <c r="H67" s="207"/>
      <c r="I67" s="207"/>
      <c r="J67" s="207"/>
      <c r="K67" s="207"/>
    </row>
    <row r="68" spans="2:11">
      <c r="B68" s="94"/>
      <c r="C68" s="74"/>
      <c r="D68" s="74"/>
      <c r="E68" s="74"/>
      <c r="F68" s="74"/>
      <c r="G68" s="207"/>
      <c r="H68" s="207"/>
      <c r="I68" s="207"/>
      <c r="J68" s="207"/>
      <c r="K68" s="207"/>
    </row>
    <row r="69" spans="2:11">
      <c r="B69" s="74"/>
      <c r="C69" s="74"/>
      <c r="D69" s="74"/>
      <c r="E69" s="74"/>
      <c r="F69" s="74"/>
      <c r="G69" s="207"/>
      <c r="H69" s="207"/>
      <c r="I69" s="207"/>
      <c r="J69" s="207"/>
      <c r="K69" s="207"/>
    </row>
    <row r="70" spans="2:11">
      <c r="B70" s="256"/>
      <c r="E70" s="163"/>
    </row>
    <row r="71" spans="2:11">
      <c r="B71" s="256"/>
      <c r="E71" s="163"/>
    </row>
    <row r="73" spans="2:11" ht="16">
      <c r="B73" s="13"/>
    </row>
    <row r="74" spans="2:11">
      <c r="B74" s="122"/>
    </row>
    <row r="75" spans="2:11">
      <c r="B75" s="256"/>
    </row>
    <row r="76" spans="2:11">
      <c r="B76" s="256"/>
    </row>
    <row r="77" spans="2:11">
      <c r="B77" s="256"/>
    </row>
    <row r="78" spans="2:11">
      <c r="B78" s="256"/>
    </row>
  </sheetData>
  <mergeCells count="2">
    <mergeCell ref="B1:M1"/>
    <mergeCell ref="B2:M2"/>
  </mergeCells>
  <pageMargins left="0.7" right="0.7" top="0.75" bottom="0.75" header="0.3" footer="0.3"/>
  <pageSetup orientation="landscape"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13"/>
  </sheetPr>
  <dimension ref="A1:V279"/>
  <sheetViews>
    <sheetView workbookViewId="0">
      <pane ySplit="3" topLeftCell="A4" activePane="bottomLeft" state="frozen"/>
      <selection pane="bottomLeft" activeCell="E134" sqref="E134"/>
    </sheetView>
  </sheetViews>
  <sheetFormatPr baseColWidth="10" defaultColWidth="8.83203125" defaultRowHeight="13"/>
  <cols>
    <col min="1" max="1" width="4.6640625" customWidth="1"/>
    <col min="2" max="4" width="10.33203125" customWidth="1"/>
    <col min="5" max="5" width="12.1640625" customWidth="1"/>
    <col min="6" max="6" width="10.6640625" customWidth="1"/>
    <col min="7" max="7" width="10.33203125" customWidth="1"/>
    <col min="8" max="8" width="17.1640625" customWidth="1"/>
    <col min="9" max="9" width="9.83203125" customWidth="1"/>
    <col min="10" max="10" width="14.5" customWidth="1"/>
    <col min="11" max="11" width="12" customWidth="1"/>
    <col min="12" max="12" width="21.83203125" customWidth="1"/>
  </cols>
  <sheetData>
    <row r="1" spans="2:13" ht="18">
      <c r="B1" s="1277" t="s">
        <v>202</v>
      </c>
      <c r="C1" s="1277"/>
      <c r="D1" s="1277"/>
      <c r="E1" s="1277"/>
      <c r="F1" s="1277"/>
      <c r="G1" s="1277"/>
      <c r="H1" s="1277"/>
      <c r="I1" s="1277"/>
      <c r="J1" s="1277"/>
      <c r="K1" s="1277"/>
    </row>
    <row r="2" spans="2:13" ht="16">
      <c r="B2" s="1278" t="str">
        <f>'Battery Design'!B2:M2</f>
        <v>LiFePO4 / Graphite</v>
      </c>
      <c r="C2" s="1278"/>
      <c r="D2" s="1278"/>
      <c r="E2" s="1278"/>
      <c r="F2" s="1278"/>
      <c r="G2" s="1278"/>
      <c r="H2" s="1278"/>
      <c r="I2" s="1278"/>
      <c r="J2" s="1278"/>
      <c r="K2" s="1278"/>
      <c r="L2" s="865"/>
      <c r="M2" s="865"/>
    </row>
    <row r="3" spans="2:13" s="189" customFormat="1" ht="15" thickBot="1">
      <c r="B3" s="1205" t="s">
        <v>153</v>
      </c>
      <c r="C3" s="586"/>
      <c r="D3" s="586"/>
      <c r="E3" s="586"/>
      <c r="F3" s="1206"/>
      <c r="G3" s="1205" t="s">
        <v>152</v>
      </c>
      <c r="H3" s="603"/>
      <c r="I3" s="603"/>
      <c r="J3" s="1056"/>
      <c r="K3" s="1207"/>
    </row>
    <row r="4" spans="2:13" ht="14">
      <c r="B4" s="1330" t="s">
        <v>198</v>
      </c>
      <c r="C4" s="1330"/>
      <c r="D4" s="1330"/>
      <c r="E4" s="1330"/>
      <c r="F4" s="1330"/>
      <c r="G4" s="1330"/>
      <c r="H4" s="1330"/>
      <c r="I4" s="1330"/>
      <c r="J4" s="1331"/>
      <c r="K4" s="1330"/>
      <c r="L4" s="100"/>
    </row>
    <row r="5" spans="2:13">
      <c r="B5" s="34" t="s">
        <v>26</v>
      </c>
      <c r="F5" s="66">
        <v>95</v>
      </c>
      <c r="G5" s="7" t="s">
        <v>159</v>
      </c>
      <c r="H5" s="7"/>
      <c r="I5" s="7" t="s">
        <v>196</v>
      </c>
      <c r="J5" s="7" t="s">
        <v>273</v>
      </c>
      <c r="K5" s="7" t="s">
        <v>97</v>
      </c>
      <c r="L5" s="102"/>
    </row>
    <row r="6" spans="2:13">
      <c r="B6" s="4" t="s">
        <v>201</v>
      </c>
      <c r="G6" s="7" t="s">
        <v>194</v>
      </c>
      <c r="H6" s="44" t="s">
        <v>195</v>
      </c>
      <c r="I6" s="44" t="s">
        <v>181</v>
      </c>
      <c r="J6" s="44" t="s">
        <v>274</v>
      </c>
      <c r="K6" s="42" t="s">
        <v>197</v>
      </c>
      <c r="L6" s="102"/>
    </row>
    <row r="7" spans="2:13">
      <c r="B7" s="6" t="s">
        <v>200</v>
      </c>
      <c r="C7" s="6"/>
      <c r="D7" s="6"/>
      <c r="F7" s="219">
        <f>ROUND(G7*H7*I7*J7/1000000,1)</f>
        <v>92.2</v>
      </c>
      <c r="G7" s="2">
        <v>99</v>
      </c>
      <c r="H7" s="43">
        <v>95</v>
      </c>
      <c r="I7" s="101">
        <v>99</v>
      </c>
      <c r="J7" s="101">
        <v>99</v>
      </c>
      <c r="K7" s="42"/>
      <c r="L7" s="104"/>
    </row>
    <row r="8" spans="2:13">
      <c r="B8" s="6" t="s">
        <v>93</v>
      </c>
      <c r="C8" s="6"/>
      <c r="D8" s="6"/>
      <c r="F8" s="219">
        <f>ROUND(G8*H8*I8*J8/1000000,1)</f>
        <v>92.2</v>
      </c>
      <c r="G8" s="2">
        <v>99</v>
      </c>
      <c r="H8" s="43">
        <v>95</v>
      </c>
      <c r="I8" s="101">
        <v>99</v>
      </c>
      <c r="J8" s="101">
        <v>99</v>
      </c>
      <c r="K8" s="42"/>
      <c r="L8" s="104"/>
    </row>
    <row r="9" spans="2:13">
      <c r="B9" s="6" t="s">
        <v>94</v>
      </c>
      <c r="C9" s="6"/>
      <c r="D9" s="6"/>
      <c r="F9" s="219">
        <f>ROUND(H9*I9*J9/10000,1)</f>
        <v>90.2</v>
      </c>
      <c r="G9" s="2"/>
      <c r="H9" s="2">
        <v>99</v>
      </c>
      <c r="I9" s="101">
        <v>92</v>
      </c>
      <c r="J9" s="101">
        <v>99</v>
      </c>
      <c r="K9" s="42"/>
      <c r="L9" s="104"/>
    </row>
    <row r="10" spans="2:13">
      <c r="B10" s="6" t="s">
        <v>95</v>
      </c>
      <c r="C10" s="6"/>
      <c r="D10" s="6"/>
      <c r="F10" s="219">
        <f>ROUND(H10*I10*J10/10000,1)</f>
        <v>90.2</v>
      </c>
      <c r="G10" s="2"/>
      <c r="H10" s="43">
        <v>99</v>
      </c>
      <c r="I10" s="101">
        <v>92</v>
      </c>
      <c r="J10" s="101">
        <v>99</v>
      </c>
      <c r="K10" s="42"/>
      <c r="L10" s="104"/>
    </row>
    <row r="11" spans="2:13">
      <c r="B11" s="6" t="s">
        <v>96</v>
      </c>
      <c r="C11" s="6"/>
      <c r="D11" s="6"/>
      <c r="F11" s="219">
        <f>J11</f>
        <v>98</v>
      </c>
      <c r="G11" s="2"/>
      <c r="H11" s="43"/>
      <c r="I11" s="101"/>
      <c r="J11" s="101">
        <v>98</v>
      </c>
      <c r="K11" s="42"/>
      <c r="L11" s="104"/>
    </row>
    <row r="12" spans="2:13">
      <c r="B12" s="6" t="s">
        <v>97</v>
      </c>
      <c r="C12" s="6"/>
      <c r="D12" s="6"/>
      <c r="F12" s="219">
        <f>K12</f>
        <v>94</v>
      </c>
      <c r="G12" s="113"/>
      <c r="H12" s="101"/>
      <c r="I12" s="101"/>
      <c r="J12" s="101"/>
      <c r="K12" s="43">
        <v>94</v>
      </c>
      <c r="L12" s="104"/>
    </row>
    <row r="13" spans="2:13">
      <c r="B13" s="6" t="s">
        <v>174</v>
      </c>
      <c r="C13" s="89"/>
      <c r="D13" s="89"/>
      <c r="E13" s="89"/>
      <c r="F13" s="220">
        <v>99.5</v>
      </c>
      <c r="G13" s="118"/>
      <c r="H13" s="35"/>
      <c r="I13" s="35"/>
      <c r="J13" s="35"/>
    </row>
    <row r="14" spans="2:13" ht="16">
      <c r="B14" s="13" t="s">
        <v>27</v>
      </c>
      <c r="F14" s="82"/>
      <c r="G14" s="40" t="s">
        <v>151</v>
      </c>
    </row>
    <row r="15" spans="2:13">
      <c r="B15" s="6" t="s">
        <v>29</v>
      </c>
      <c r="C15" s="6"/>
      <c r="D15" s="6"/>
      <c r="E15" s="7"/>
      <c r="F15" s="44" t="s">
        <v>30</v>
      </c>
      <c r="G15" s="34" t="s">
        <v>25</v>
      </c>
      <c r="H15" s="34"/>
      <c r="I15" s="34"/>
      <c r="J15" s="34"/>
      <c r="K15" s="391">
        <v>100000</v>
      </c>
    </row>
    <row r="16" spans="2:13">
      <c r="B16" s="6" t="s">
        <v>33</v>
      </c>
      <c r="C16" s="6"/>
      <c r="D16" s="6"/>
      <c r="E16" s="77">
        <f>Chem!C94</f>
        <v>7</v>
      </c>
      <c r="F16" s="77">
        <v>0.9</v>
      </c>
      <c r="G16" s="34" t="s">
        <v>175</v>
      </c>
      <c r="H16" s="34"/>
      <c r="I16" s="34"/>
      <c r="J16" s="41"/>
      <c r="K16" s="391">
        <v>300</v>
      </c>
    </row>
    <row r="17" spans="2:12">
      <c r="B17" s="256" t="s">
        <v>221</v>
      </c>
      <c r="C17" s="6"/>
      <c r="D17" s="6"/>
      <c r="E17" s="77">
        <f>Chem!C95</f>
        <v>6.6</v>
      </c>
      <c r="F17" s="77">
        <v>1</v>
      </c>
      <c r="G17" s="17" t="s">
        <v>538</v>
      </c>
      <c r="H17" s="34"/>
      <c r="I17" s="34"/>
      <c r="J17" s="41"/>
      <c r="K17" s="391">
        <v>3</v>
      </c>
    </row>
    <row r="18" spans="2:12">
      <c r="B18" s="256" t="s">
        <v>935</v>
      </c>
      <c r="C18" s="6"/>
      <c r="D18" s="6"/>
      <c r="E18" s="77">
        <f>Chem!C96</f>
        <v>9.5</v>
      </c>
      <c r="F18" s="77">
        <v>1</v>
      </c>
      <c r="G18" t="s">
        <v>177</v>
      </c>
      <c r="H18" s="35"/>
      <c r="I18" s="35"/>
      <c r="J18" s="41"/>
      <c r="K18" s="391">
        <v>900</v>
      </c>
    </row>
    <row r="19" spans="2:12">
      <c r="B19" s="256" t="s">
        <v>934</v>
      </c>
      <c r="C19" s="6"/>
      <c r="D19" s="6"/>
      <c r="E19" s="77">
        <f>Chem!C97</f>
        <v>3.1</v>
      </c>
      <c r="F19" s="77">
        <v>1</v>
      </c>
      <c r="G19" s="96" t="s">
        <v>1526</v>
      </c>
      <c r="H19" s="35"/>
      <c r="I19" s="35"/>
      <c r="J19" s="114"/>
      <c r="K19" s="388">
        <v>6000000</v>
      </c>
    </row>
    <row r="20" spans="2:12">
      <c r="B20" s="6" t="s">
        <v>42</v>
      </c>
      <c r="C20" s="6"/>
      <c r="D20" s="6"/>
      <c r="E20" s="72"/>
      <c r="F20" s="72"/>
      <c r="G20" s="34" t="s">
        <v>82</v>
      </c>
      <c r="H20" s="35"/>
      <c r="I20" s="35"/>
      <c r="J20" s="41"/>
      <c r="K20" s="388">
        <v>24000000</v>
      </c>
    </row>
    <row r="21" spans="2:12">
      <c r="B21" s="6" t="s">
        <v>33</v>
      </c>
      <c r="C21" s="6"/>
      <c r="D21" s="6"/>
      <c r="E21" s="77">
        <f>Chem!C99</f>
        <v>0</v>
      </c>
      <c r="F21" s="77">
        <v>0.95</v>
      </c>
      <c r="G21" s="35" t="s">
        <v>83</v>
      </c>
      <c r="H21" s="35"/>
      <c r="I21" s="35"/>
      <c r="J21" s="143"/>
      <c r="K21" s="388">
        <v>25263158</v>
      </c>
    </row>
    <row r="22" spans="2:12">
      <c r="B22" s="6" t="s">
        <v>37</v>
      </c>
      <c r="C22" s="6"/>
      <c r="D22" s="6"/>
      <c r="E22" s="77">
        <f>Chem!C100</f>
        <v>6.6</v>
      </c>
      <c r="F22" s="77">
        <v>1</v>
      </c>
      <c r="G22" s="35" t="s">
        <v>1468</v>
      </c>
      <c r="H22" s="35"/>
      <c r="I22" s="35"/>
      <c r="J22" s="41"/>
      <c r="K22" s="388">
        <v>67669329.686634347</v>
      </c>
    </row>
    <row r="23" spans="2:12">
      <c r="B23" s="161" t="s">
        <v>243</v>
      </c>
      <c r="C23" s="6"/>
      <c r="D23" s="6"/>
      <c r="E23" s="77">
        <f>Chem!C101</f>
        <v>10</v>
      </c>
      <c r="F23" s="77">
        <v>1</v>
      </c>
      <c r="G23" s="35" t="s">
        <v>190</v>
      </c>
      <c r="H23" s="35"/>
      <c r="I23" s="35"/>
      <c r="J23" s="41"/>
      <c r="K23" s="388">
        <v>10193620.403506014</v>
      </c>
    </row>
    <row r="24" spans="2:12">
      <c r="B24" s="6" t="s">
        <v>232</v>
      </c>
      <c r="C24" s="6"/>
      <c r="D24" s="6"/>
      <c r="E24" s="77">
        <f>Chem!C102</f>
        <v>0</v>
      </c>
      <c r="F24" s="77">
        <v>1</v>
      </c>
      <c r="G24" s="35" t="s">
        <v>191</v>
      </c>
      <c r="H24" s="35"/>
      <c r="I24" s="35"/>
      <c r="J24" s="41"/>
      <c r="K24" s="388">
        <v>6564082.0085168201</v>
      </c>
    </row>
    <row r="25" spans="2:12" ht="15">
      <c r="B25" s="6" t="s">
        <v>131</v>
      </c>
      <c r="C25" s="6"/>
      <c r="D25" s="6"/>
      <c r="E25" s="77">
        <f>Chem!C103</f>
        <v>0.3</v>
      </c>
      <c r="F25" s="77">
        <v>1</v>
      </c>
      <c r="G25" s="35" t="s">
        <v>280</v>
      </c>
      <c r="H25" s="35"/>
      <c r="I25" s="35"/>
      <c r="J25" s="41"/>
      <c r="K25" s="388">
        <v>13744207.285626091</v>
      </c>
    </row>
    <row r="26" spans="2:12" ht="15">
      <c r="B26" s="6" t="s">
        <v>132</v>
      </c>
      <c r="C26" s="6"/>
      <c r="D26" s="6"/>
      <c r="E26" s="77">
        <f>Chem!C104</f>
        <v>1.2</v>
      </c>
      <c r="F26" s="77">
        <v>1</v>
      </c>
      <c r="G26" s="35" t="s">
        <v>281</v>
      </c>
      <c r="H26" s="35"/>
      <c r="I26" s="35"/>
      <c r="J26" s="41"/>
      <c r="K26" s="392">
        <v>8291472.0107580908</v>
      </c>
      <c r="L26" s="242"/>
    </row>
    <row r="27" spans="2:12" ht="16">
      <c r="B27" s="6" t="s">
        <v>45</v>
      </c>
      <c r="C27" s="6"/>
      <c r="D27" s="6"/>
      <c r="E27" s="77">
        <f>Chem!C105</f>
        <v>10</v>
      </c>
      <c r="F27" s="77">
        <v>1</v>
      </c>
      <c r="G27" s="96" t="s">
        <v>1518</v>
      </c>
      <c r="K27" s="388">
        <v>6100</v>
      </c>
      <c r="L27" s="395"/>
    </row>
    <row r="28" spans="2:12" ht="16">
      <c r="B28" s="6" t="s">
        <v>46</v>
      </c>
      <c r="C28" s="6"/>
      <c r="D28" s="6"/>
      <c r="E28" s="77">
        <f>Chem!C106</f>
        <v>15</v>
      </c>
      <c r="F28" s="77">
        <v>1</v>
      </c>
      <c r="H28" s="1"/>
      <c r="I28" s="1"/>
      <c r="J28" s="1"/>
      <c r="K28" s="193"/>
      <c r="L28" s="395"/>
    </row>
    <row r="29" spans="2:12" ht="16">
      <c r="G29" s="11"/>
      <c r="H29" s="221"/>
      <c r="I29" s="221"/>
      <c r="J29" s="221"/>
      <c r="K29" s="193"/>
      <c r="L29" s="395"/>
    </row>
    <row r="30" spans="2:12" ht="16">
      <c r="B30" s="13" t="s">
        <v>134</v>
      </c>
      <c r="G30" s="11" t="s">
        <v>142</v>
      </c>
      <c r="H30" s="221"/>
      <c r="I30" s="221"/>
      <c r="J30" s="221"/>
      <c r="K30" s="193"/>
    </row>
    <row r="31" spans="2:12" ht="16">
      <c r="B31" s="117"/>
      <c r="D31" s="1328" t="s">
        <v>28</v>
      </c>
      <c r="E31" s="1328"/>
      <c r="G31" s="4" t="s">
        <v>68</v>
      </c>
      <c r="H31" s="1"/>
      <c r="I31" s="1"/>
      <c r="J31" s="1"/>
      <c r="K31" s="193"/>
    </row>
    <row r="32" spans="2:12" ht="15">
      <c r="D32" s="7" t="s">
        <v>31</v>
      </c>
      <c r="E32" s="7" t="s">
        <v>32</v>
      </c>
      <c r="G32" t="s">
        <v>145</v>
      </c>
      <c r="K32" s="69">
        <v>3000</v>
      </c>
    </row>
    <row r="33" spans="2:22" ht="14">
      <c r="D33" s="7" t="s">
        <v>34</v>
      </c>
      <c r="E33" s="7" t="s">
        <v>35</v>
      </c>
      <c r="F33" s="7" t="s">
        <v>30</v>
      </c>
      <c r="G33" t="s">
        <v>69</v>
      </c>
      <c r="K33" s="2"/>
      <c r="P33" s="213"/>
    </row>
    <row r="34" spans="2:22">
      <c r="B34" s="34" t="s">
        <v>36</v>
      </c>
      <c r="D34" s="67">
        <v>4</v>
      </c>
      <c r="E34" s="67">
        <v>0.25</v>
      </c>
      <c r="F34" s="67">
        <v>0.8</v>
      </c>
      <c r="G34" t="s">
        <v>545</v>
      </c>
      <c r="K34" s="69">
        <v>5</v>
      </c>
      <c r="L34" s="163"/>
      <c r="P34" s="256"/>
    </row>
    <row r="35" spans="2:22">
      <c r="B35" s="34" t="s">
        <v>38</v>
      </c>
      <c r="D35" s="67">
        <f>IF(E26&gt;E25,6,D34)</f>
        <v>6</v>
      </c>
      <c r="E35" s="67">
        <v>0.25</v>
      </c>
      <c r="F35" s="67">
        <v>0.8</v>
      </c>
      <c r="G35" t="s">
        <v>70</v>
      </c>
      <c r="K35" s="69">
        <v>10</v>
      </c>
      <c r="L35" s="163"/>
      <c r="P35" s="256"/>
      <c r="T35" s="300"/>
      <c r="U35" s="396"/>
      <c r="V35" s="395"/>
    </row>
    <row r="36" spans="2:22">
      <c r="B36" s="34" t="s">
        <v>40</v>
      </c>
      <c r="D36" s="67">
        <v>3</v>
      </c>
      <c r="E36" s="67">
        <v>0.2</v>
      </c>
      <c r="F36" s="67">
        <v>0.8</v>
      </c>
      <c r="G36" t="s">
        <v>71</v>
      </c>
      <c r="K36" s="69">
        <v>15</v>
      </c>
      <c r="L36" s="163"/>
      <c r="P36" s="256"/>
      <c r="T36" s="300"/>
      <c r="U36" s="396"/>
      <c r="V36" s="395"/>
    </row>
    <row r="37" spans="2:22">
      <c r="B37" s="35" t="s">
        <v>352</v>
      </c>
      <c r="D37" s="67">
        <v>4</v>
      </c>
      <c r="E37" s="67">
        <v>0.1</v>
      </c>
      <c r="F37" s="67">
        <v>0.8</v>
      </c>
      <c r="G37" s="4" t="s">
        <v>72</v>
      </c>
      <c r="K37" s="2"/>
      <c r="L37" s="163"/>
      <c r="P37" s="256"/>
      <c r="T37" s="300"/>
      <c r="U37" s="396"/>
      <c r="V37" s="395"/>
    </row>
    <row r="38" spans="2:22">
      <c r="B38" s="35" t="s">
        <v>410</v>
      </c>
      <c r="C38" s="74"/>
      <c r="D38" s="72"/>
      <c r="E38" s="72"/>
      <c r="F38" s="72"/>
      <c r="G38" s="54" t="s">
        <v>73</v>
      </c>
      <c r="K38" s="2"/>
      <c r="P38" s="256"/>
      <c r="T38" s="300"/>
      <c r="U38" s="396"/>
      <c r="V38" s="395"/>
    </row>
    <row r="39" spans="2:22" ht="16">
      <c r="B39" s="13" t="s">
        <v>347</v>
      </c>
      <c r="C39" s="13"/>
      <c r="D39" s="13"/>
      <c r="E39" s="45"/>
      <c r="G39" t="s">
        <v>74</v>
      </c>
      <c r="K39" s="69">
        <v>25</v>
      </c>
      <c r="L39" s="390"/>
      <c r="P39" s="256"/>
      <c r="T39" s="301"/>
      <c r="U39" s="397"/>
      <c r="V39" s="61"/>
    </row>
    <row r="40" spans="2:22">
      <c r="B40" s="6" t="s">
        <v>346</v>
      </c>
      <c r="G40" t="s">
        <v>371</v>
      </c>
      <c r="K40" s="84"/>
      <c r="L40" s="256"/>
      <c r="P40" s="256"/>
      <c r="T40" s="300"/>
      <c r="U40" s="396"/>
      <c r="V40" s="395"/>
    </row>
    <row r="41" spans="2:22">
      <c r="B41" s="6" t="s">
        <v>43</v>
      </c>
      <c r="F41" s="67">
        <v>2.5</v>
      </c>
      <c r="G41" t="s">
        <v>370</v>
      </c>
      <c r="K41" s="69">
        <v>40</v>
      </c>
      <c r="L41" s="163"/>
      <c r="P41" s="256"/>
      <c r="T41" s="300"/>
      <c r="U41" s="396"/>
      <c r="V41" s="395"/>
    </row>
    <row r="42" spans="2:22">
      <c r="B42" s="6" t="s">
        <v>408</v>
      </c>
      <c r="F42" s="68">
        <v>0.01</v>
      </c>
      <c r="G42" s="6" t="s">
        <v>373</v>
      </c>
      <c r="K42" s="69">
        <v>20</v>
      </c>
      <c r="L42" s="163"/>
      <c r="P42" s="256"/>
      <c r="T42" s="300"/>
      <c r="U42" s="396"/>
      <c r="V42" s="395"/>
    </row>
    <row r="43" spans="2:22">
      <c r="B43" s="6" t="s">
        <v>270</v>
      </c>
      <c r="G43" s="54" t="s">
        <v>75</v>
      </c>
      <c r="K43" s="2"/>
      <c r="L43" s="163"/>
      <c r="P43" s="256"/>
      <c r="T43" s="300"/>
      <c r="U43" s="396"/>
      <c r="V43" s="395"/>
    </row>
    <row r="44" spans="2:22">
      <c r="B44" s="6" t="s">
        <v>409</v>
      </c>
      <c r="F44" s="67">
        <v>5</v>
      </c>
      <c r="G44" s="6" t="s">
        <v>76</v>
      </c>
      <c r="K44" s="2"/>
      <c r="L44" s="163"/>
      <c r="P44" s="256"/>
      <c r="T44" s="300"/>
      <c r="U44" s="396"/>
      <c r="V44" s="395"/>
    </row>
    <row r="45" spans="2:22">
      <c r="B45" s="6" t="s">
        <v>44</v>
      </c>
      <c r="F45" s="69">
        <v>0.75</v>
      </c>
      <c r="G45" s="6" t="s">
        <v>70</v>
      </c>
      <c r="K45" s="69">
        <v>25</v>
      </c>
      <c r="L45" s="163"/>
      <c r="P45" s="256"/>
      <c r="T45" s="300"/>
      <c r="U45" s="396"/>
      <c r="V45" s="395"/>
    </row>
    <row r="46" spans="2:22">
      <c r="B46" s="256" t="s">
        <v>598</v>
      </c>
      <c r="C46" s="242"/>
      <c r="D46" s="242"/>
      <c r="E46" s="242"/>
      <c r="F46" s="67">
        <v>1.5</v>
      </c>
      <c r="G46" s="6" t="s">
        <v>77</v>
      </c>
      <c r="K46" s="69">
        <v>25</v>
      </c>
      <c r="L46" s="163"/>
      <c r="P46" s="256"/>
      <c r="T46" s="300"/>
      <c r="U46" s="396"/>
      <c r="V46" s="395"/>
    </row>
    <row r="47" spans="2:22">
      <c r="B47" s="161" t="s">
        <v>599</v>
      </c>
      <c r="G47" s="6" t="s">
        <v>78</v>
      </c>
      <c r="K47" s="69">
        <v>40</v>
      </c>
      <c r="L47" s="163"/>
      <c r="P47" s="256"/>
      <c r="T47" s="301"/>
      <c r="U47" s="397"/>
      <c r="V47" s="61"/>
    </row>
    <row r="48" spans="2:22">
      <c r="B48" s="6" t="s">
        <v>409</v>
      </c>
      <c r="F48" s="67">
        <v>3</v>
      </c>
      <c r="G48" s="6" t="s">
        <v>79</v>
      </c>
      <c r="K48" s="2"/>
      <c r="L48" s="163"/>
      <c r="P48" s="17"/>
      <c r="T48" s="300"/>
      <c r="U48" s="396"/>
      <c r="V48" s="61"/>
    </row>
    <row r="49" spans="2:22">
      <c r="B49" s="6" t="s">
        <v>44</v>
      </c>
      <c r="F49" s="67">
        <v>1</v>
      </c>
      <c r="G49" s="6" t="s">
        <v>1282</v>
      </c>
      <c r="K49" s="103">
        <f>100/6</f>
        <v>16.666666666666668</v>
      </c>
      <c r="L49" s="163"/>
      <c r="P49" s="17"/>
      <c r="T49" s="300"/>
      <c r="U49" s="396"/>
      <c r="V49" s="61"/>
    </row>
    <row r="50" spans="2:22" ht="16">
      <c r="B50" s="13" t="s">
        <v>348</v>
      </c>
      <c r="F50" s="67"/>
      <c r="G50" s="6" t="s">
        <v>345</v>
      </c>
      <c r="K50" s="69">
        <f>100/20</f>
        <v>5</v>
      </c>
      <c r="L50" s="163"/>
      <c r="P50" s="17"/>
      <c r="T50" s="300"/>
      <c r="U50" s="396"/>
      <c r="V50" s="61"/>
    </row>
    <row r="51" spans="2:22" ht="14">
      <c r="B51" s="6" t="s">
        <v>351</v>
      </c>
      <c r="F51" s="67"/>
      <c r="G51" s="54" t="s">
        <v>80</v>
      </c>
      <c r="K51" s="69">
        <v>5</v>
      </c>
      <c r="L51" s="163"/>
      <c r="P51" s="164"/>
      <c r="T51" s="301"/>
      <c r="U51" s="397"/>
      <c r="V51" s="61"/>
    </row>
    <row r="52" spans="2:22">
      <c r="B52" s="6" t="s">
        <v>409</v>
      </c>
      <c r="F52" s="67">
        <v>5</v>
      </c>
      <c r="G52" s="54" t="s">
        <v>245</v>
      </c>
      <c r="K52" s="69">
        <v>5.6</v>
      </c>
      <c r="L52" s="163"/>
      <c r="P52" s="256"/>
      <c r="T52" s="301"/>
      <c r="U52" s="397"/>
      <c r="V52" s="61"/>
    </row>
    <row r="53" spans="2:22">
      <c r="B53" s="6" t="s">
        <v>363</v>
      </c>
      <c r="F53" s="67">
        <v>1</v>
      </c>
      <c r="G53" s="54"/>
      <c r="K53" s="84"/>
      <c r="P53" s="256"/>
      <c r="T53" s="302"/>
      <c r="U53" s="287"/>
      <c r="V53" s="61"/>
    </row>
    <row r="54" spans="2:22" ht="16">
      <c r="B54" t="s">
        <v>349</v>
      </c>
      <c r="F54" s="67">
        <v>2</v>
      </c>
      <c r="G54" s="132" t="s">
        <v>544</v>
      </c>
      <c r="P54" s="256"/>
      <c r="T54" s="302"/>
      <c r="U54" s="287"/>
      <c r="V54" s="61"/>
    </row>
    <row r="55" spans="2:22">
      <c r="B55" s="6" t="s">
        <v>359</v>
      </c>
      <c r="C55" s="110"/>
      <c r="F55" s="69"/>
      <c r="I55" s="2"/>
      <c r="J55" s="2"/>
      <c r="K55" s="2" t="s">
        <v>333</v>
      </c>
      <c r="P55" s="256"/>
      <c r="T55" s="302"/>
      <c r="U55" s="287"/>
      <c r="V55" s="61"/>
    </row>
    <row r="56" spans="2:22">
      <c r="B56" s="6" t="s">
        <v>334</v>
      </c>
      <c r="F56" s="139">
        <v>15</v>
      </c>
      <c r="I56" s="2" t="s">
        <v>353</v>
      </c>
      <c r="J56" s="2" t="s">
        <v>354</v>
      </c>
      <c r="K56" s="2" t="s">
        <v>355</v>
      </c>
      <c r="P56" s="256"/>
      <c r="T56" s="302"/>
      <c r="U56" s="287"/>
      <c r="V56" s="61"/>
    </row>
    <row r="57" spans="2:22">
      <c r="B57" s="6" t="s">
        <v>350</v>
      </c>
      <c r="F57" s="69">
        <v>0.02</v>
      </c>
      <c r="G57" t="s">
        <v>358</v>
      </c>
      <c r="I57" s="69">
        <v>40</v>
      </c>
      <c r="J57" s="69">
        <v>70</v>
      </c>
      <c r="K57" s="69">
        <v>100</v>
      </c>
      <c r="P57" s="256"/>
      <c r="T57" s="302"/>
      <c r="U57" s="287"/>
      <c r="V57" s="61"/>
    </row>
    <row r="58" spans="2:22">
      <c r="B58" s="161" t="s">
        <v>455</v>
      </c>
      <c r="G58" t="s">
        <v>357</v>
      </c>
      <c r="I58" s="69">
        <v>10</v>
      </c>
      <c r="J58" s="69">
        <v>10</v>
      </c>
      <c r="K58" s="69">
        <v>20</v>
      </c>
      <c r="P58" s="256"/>
      <c r="T58" s="302"/>
      <c r="U58" s="287"/>
      <c r="V58" s="61"/>
    </row>
    <row r="59" spans="2:22">
      <c r="B59" s="161" t="s">
        <v>456</v>
      </c>
      <c r="F59" s="67">
        <v>20</v>
      </c>
      <c r="G59" t="s">
        <v>361</v>
      </c>
      <c r="I59" s="69">
        <v>50</v>
      </c>
      <c r="J59" s="69">
        <v>70</v>
      </c>
      <c r="K59" s="69">
        <v>200</v>
      </c>
      <c r="P59" s="256"/>
      <c r="T59" s="302"/>
      <c r="U59" s="287"/>
      <c r="V59" s="61"/>
    </row>
    <row r="60" spans="2:22">
      <c r="B60" s="6" t="s">
        <v>337</v>
      </c>
      <c r="G60" t="s">
        <v>501</v>
      </c>
      <c r="I60" s="69">
        <v>15</v>
      </c>
      <c r="J60" s="69">
        <v>15</v>
      </c>
      <c r="K60" s="69">
        <v>15</v>
      </c>
      <c r="P60" s="256"/>
      <c r="T60" s="302"/>
      <c r="U60" s="287"/>
      <c r="V60" s="61"/>
    </row>
    <row r="61" spans="2:22">
      <c r="B61" s="6" t="s">
        <v>275</v>
      </c>
      <c r="F61" s="67">
        <v>7</v>
      </c>
      <c r="G61" t="s">
        <v>457</v>
      </c>
      <c r="K61" s="69">
        <v>100</v>
      </c>
      <c r="P61" s="256"/>
      <c r="T61" s="302"/>
      <c r="U61" s="287"/>
      <c r="V61" s="61"/>
    </row>
    <row r="62" spans="2:22" ht="16">
      <c r="B62" s="6" t="s">
        <v>47</v>
      </c>
      <c r="F62" s="67">
        <v>30</v>
      </c>
      <c r="G62" s="13" t="s">
        <v>356</v>
      </c>
      <c r="I62" s="2"/>
      <c r="J62" s="2"/>
      <c r="K62" s="2" t="s">
        <v>333</v>
      </c>
      <c r="P62" s="256"/>
      <c r="T62" s="302"/>
      <c r="U62" s="287"/>
      <c r="V62" s="61"/>
    </row>
    <row r="63" spans="2:22" ht="16">
      <c r="B63" s="227" t="s">
        <v>536</v>
      </c>
      <c r="C63" s="227"/>
      <c r="D63" s="227"/>
      <c r="E63" s="225"/>
      <c r="F63" s="226"/>
      <c r="I63" s="2" t="s">
        <v>353</v>
      </c>
      <c r="J63" s="2" t="s">
        <v>354</v>
      </c>
      <c r="K63" s="2" t="s">
        <v>355</v>
      </c>
      <c r="P63" s="256"/>
      <c r="T63" s="302"/>
      <c r="U63" s="287"/>
      <c r="V63" s="61"/>
    </row>
    <row r="64" spans="2:22">
      <c r="B64" s="1329" t="s">
        <v>518</v>
      </c>
      <c r="C64" s="1329"/>
      <c r="D64" s="1329"/>
      <c r="E64" s="200"/>
      <c r="F64" s="222" t="s">
        <v>537</v>
      </c>
      <c r="G64" t="s">
        <v>499</v>
      </c>
      <c r="I64" s="69">
        <v>30</v>
      </c>
      <c r="J64" s="69">
        <v>80</v>
      </c>
      <c r="K64" s="69">
        <v>120</v>
      </c>
      <c r="P64" s="256"/>
      <c r="T64" s="302"/>
      <c r="U64" s="287"/>
      <c r="V64" s="61"/>
    </row>
    <row r="65" spans="2:22">
      <c r="B65" s="196" t="s">
        <v>525</v>
      </c>
      <c r="F65" s="180">
        <v>1.0665599999999995</v>
      </c>
      <c r="G65" s="166" t="s">
        <v>497</v>
      </c>
      <c r="I65" s="69">
        <v>40</v>
      </c>
      <c r="J65" s="69">
        <v>40</v>
      </c>
      <c r="K65" s="69">
        <v>40</v>
      </c>
      <c r="P65" s="17"/>
      <c r="T65" s="302"/>
      <c r="U65" s="287"/>
      <c r="V65" s="61"/>
    </row>
    <row r="66" spans="2:22">
      <c r="B66" s="196" t="s">
        <v>526</v>
      </c>
      <c r="F66" s="180">
        <v>1.8664799999999968</v>
      </c>
      <c r="G66" s="161" t="s">
        <v>546</v>
      </c>
      <c r="I66" s="69">
        <v>20</v>
      </c>
      <c r="J66" s="69">
        <v>20</v>
      </c>
      <c r="K66" s="69">
        <v>20</v>
      </c>
      <c r="P66" s="17"/>
      <c r="T66" s="302"/>
      <c r="U66" s="287"/>
      <c r="V66" s="61"/>
    </row>
    <row r="67" spans="2:22">
      <c r="B67" s="196" t="s">
        <v>521</v>
      </c>
      <c r="F67" s="180">
        <v>3.8763999999999954</v>
      </c>
      <c r="G67" t="s">
        <v>458</v>
      </c>
      <c r="I67" s="84"/>
      <c r="J67" s="84"/>
      <c r="K67" s="69">
        <v>100</v>
      </c>
      <c r="P67" s="17"/>
      <c r="T67" s="302"/>
      <c r="U67" s="287"/>
      <c r="V67" s="61"/>
    </row>
    <row r="68" spans="2:22">
      <c r="B68" s="196" t="s">
        <v>524</v>
      </c>
      <c r="F68" s="224">
        <v>1.5325199999999901</v>
      </c>
      <c r="G68" s="191" t="s">
        <v>510</v>
      </c>
      <c r="H68" s="191"/>
      <c r="I68" s="191"/>
      <c r="P68" s="256"/>
      <c r="T68" s="302"/>
      <c r="U68" s="287"/>
      <c r="V68" s="61"/>
    </row>
    <row r="69" spans="2:22">
      <c r="B69" s="228" t="s">
        <v>522</v>
      </c>
      <c r="C69" s="191"/>
      <c r="D69" s="191"/>
      <c r="E69" s="191"/>
      <c r="F69" s="191"/>
      <c r="G69" s="192" t="s">
        <v>498</v>
      </c>
      <c r="H69" s="191"/>
      <c r="P69" s="17"/>
      <c r="T69" s="302"/>
      <c r="U69" s="287"/>
    </row>
    <row r="70" spans="2:22" ht="20">
      <c r="B70" s="230" t="s">
        <v>48</v>
      </c>
      <c r="C70" s="229"/>
      <c r="D70" s="229"/>
      <c r="E70" s="229"/>
      <c r="F70" s="229"/>
      <c r="G70" s="229"/>
      <c r="H70" s="229"/>
      <c r="I70" s="229"/>
      <c r="J70" s="229"/>
      <c r="K70" s="229"/>
      <c r="P70" s="164"/>
      <c r="T70" s="302"/>
      <c r="U70" s="287"/>
    </row>
    <row r="71" spans="2:22">
      <c r="B71" s="8"/>
      <c r="C71" s="8"/>
      <c r="D71" s="8"/>
      <c r="E71" s="47" t="s">
        <v>28</v>
      </c>
      <c r="F71" s="48"/>
      <c r="G71" s="8"/>
      <c r="H71" s="8"/>
      <c r="I71" s="8"/>
      <c r="J71" s="47" t="s">
        <v>28</v>
      </c>
      <c r="K71" s="48"/>
      <c r="P71" s="96"/>
      <c r="T71" s="302"/>
      <c r="U71" s="287"/>
    </row>
    <row r="72" spans="2:22">
      <c r="B72" s="49" t="s">
        <v>49</v>
      </c>
      <c r="C72" s="39"/>
      <c r="D72" s="39"/>
      <c r="E72" s="50" t="s">
        <v>50</v>
      </c>
      <c r="F72" s="39" t="s">
        <v>30</v>
      </c>
      <c r="G72" s="49" t="s">
        <v>49</v>
      </c>
      <c r="H72" s="39"/>
      <c r="I72" s="39"/>
      <c r="J72" s="50" t="s">
        <v>50</v>
      </c>
      <c r="K72" s="39" t="s">
        <v>30</v>
      </c>
      <c r="P72" s="96"/>
      <c r="T72" s="302"/>
      <c r="U72" s="287"/>
    </row>
    <row r="73" spans="2:22">
      <c r="B73" s="4" t="s">
        <v>51</v>
      </c>
      <c r="C73" s="4"/>
      <c r="D73" s="4"/>
      <c r="F73" s="51"/>
      <c r="G73" s="4" t="s">
        <v>236</v>
      </c>
      <c r="P73" s="256"/>
      <c r="T73" s="302"/>
      <c r="U73" s="287"/>
    </row>
    <row r="74" spans="2:22">
      <c r="B74" s="6" t="s">
        <v>52</v>
      </c>
      <c r="C74" s="6"/>
      <c r="D74" s="6"/>
      <c r="E74" s="10"/>
      <c r="F74" s="51"/>
      <c r="G74" s="6" t="s">
        <v>233</v>
      </c>
      <c r="H74" s="6"/>
      <c r="I74" s="6"/>
      <c r="J74" s="8"/>
      <c r="K74" s="51"/>
      <c r="P74" s="256"/>
      <c r="T74" s="302"/>
      <c r="U74" s="287"/>
    </row>
    <row r="75" spans="2:22">
      <c r="B75" s="6" t="s">
        <v>1187</v>
      </c>
      <c r="C75" s="6"/>
      <c r="D75" s="6"/>
      <c r="E75" s="70">
        <v>24000</v>
      </c>
      <c r="F75" s="67">
        <v>0.4</v>
      </c>
      <c r="G75" s="6" t="s">
        <v>58</v>
      </c>
      <c r="H75" s="6"/>
      <c r="I75" s="6"/>
      <c r="J75" s="8"/>
      <c r="K75" s="51"/>
      <c r="P75" s="256"/>
      <c r="T75" s="302"/>
      <c r="U75" s="287"/>
    </row>
    <row r="76" spans="2:22" ht="12.75" customHeight="1">
      <c r="B76" s="6" t="s">
        <v>1279</v>
      </c>
      <c r="C76" s="6"/>
      <c r="D76" s="6"/>
      <c r="E76" s="58">
        <v>8</v>
      </c>
      <c r="F76" s="67">
        <v>0.6</v>
      </c>
      <c r="G76" s="6" t="s">
        <v>188</v>
      </c>
      <c r="H76" s="6"/>
      <c r="I76" s="6"/>
      <c r="J76" s="382">
        <v>67</v>
      </c>
      <c r="K76" s="383" t="s">
        <v>672</v>
      </c>
      <c r="P76" s="256"/>
      <c r="T76" s="302"/>
      <c r="U76" s="287"/>
    </row>
    <row r="77" spans="2:22" ht="12.75" customHeight="1">
      <c r="B77" s="6" t="s">
        <v>1276</v>
      </c>
      <c r="C77" s="6"/>
      <c r="D77" s="6"/>
      <c r="E77" s="70">
        <v>1600</v>
      </c>
      <c r="F77" s="67">
        <v>0.5</v>
      </c>
      <c r="G77" s="6" t="s">
        <v>1187</v>
      </c>
      <c r="H77" s="6"/>
      <c r="I77" s="6"/>
      <c r="J77" s="329">
        <v>72000</v>
      </c>
      <c r="K77" s="67">
        <v>0.7</v>
      </c>
      <c r="P77" s="256"/>
      <c r="T77" s="302"/>
      <c r="U77" s="287"/>
    </row>
    <row r="78" spans="2:22">
      <c r="B78" s="4" t="s">
        <v>54</v>
      </c>
      <c r="C78" s="4"/>
      <c r="D78" s="4"/>
      <c r="E78" s="53"/>
      <c r="F78" s="51"/>
      <c r="G78" s="6" t="s">
        <v>1279</v>
      </c>
      <c r="H78" s="6"/>
      <c r="I78" s="6"/>
      <c r="J78" s="330">
        <v>8</v>
      </c>
      <c r="K78" s="67">
        <v>0.8</v>
      </c>
      <c r="P78" s="256"/>
      <c r="T78" s="302"/>
      <c r="U78" s="287"/>
    </row>
    <row r="79" spans="2:22" ht="14">
      <c r="B79" s="6" t="s">
        <v>182</v>
      </c>
      <c r="C79" s="6"/>
      <c r="D79" s="6"/>
      <c r="E79" s="53"/>
      <c r="F79" s="51"/>
      <c r="G79" s="6" t="s">
        <v>1276</v>
      </c>
      <c r="H79" s="6"/>
      <c r="I79" s="6"/>
      <c r="J79" s="329">
        <v>1800</v>
      </c>
      <c r="K79" s="67">
        <v>0.8</v>
      </c>
      <c r="P79" s="164"/>
      <c r="T79" s="302"/>
      <c r="U79" s="287"/>
    </row>
    <row r="80" spans="2:22">
      <c r="B80" s="6" t="s">
        <v>56</v>
      </c>
      <c r="C80" s="6"/>
      <c r="D80" s="6"/>
      <c r="E80" s="53"/>
      <c r="F80" s="51"/>
      <c r="G80" s="6" t="s">
        <v>61</v>
      </c>
      <c r="H80" s="6"/>
      <c r="I80" s="6"/>
      <c r="J80" s="257"/>
      <c r="K80" s="286"/>
      <c r="P80" s="256"/>
      <c r="U80" s="287"/>
    </row>
    <row r="81" spans="1:21">
      <c r="B81" s="6" t="s">
        <v>57</v>
      </c>
      <c r="C81" s="6"/>
      <c r="D81" s="6"/>
      <c r="E81" s="53"/>
      <c r="F81" s="51"/>
      <c r="G81" s="6" t="s">
        <v>58</v>
      </c>
      <c r="H81" s="6"/>
      <c r="I81" s="6"/>
      <c r="J81" s="257"/>
      <c r="K81" s="286"/>
      <c r="P81" s="256"/>
      <c r="U81" s="287"/>
    </row>
    <row r="82" spans="1:21">
      <c r="B82" s="6" t="s">
        <v>1187</v>
      </c>
      <c r="C82" s="6"/>
      <c r="D82" s="6"/>
      <c r="E82" s="71">
        <v>21600</v>
      </c>
      <c r="F82" s="67">
        <v>0.5</v>
      </c>
      <c r="G82" s="6" t="s">
        <v>1187</v>
      </c>
      <c r="H82" s="6"/>
      <c r="I82" s="6"/>
      <c r="J82" s="329">
        <v>72000</v>
      </c>
      <c r="K82" s="67">
        <v>0.7</v>
      </c>
      <c r="P82" s="256"/>
      <c r="U82" s="287"/>
    </row>
    <row r="83" spans="1:21">
      <c r="B83" s="6" t="s">
        <v>1279</v>
      </c>
      <c r="C83" s="6"/>
      <c r="D83" s="6"/>
      <c r="E83" s="83">
        <v>7</v>
      </c>
      <c r="F83" s="67">
        <v>0.7</v>
      </c>
      <c r="G83" s="6" t="s">
        <v>1279</v>
      </c>
      <c r="H83" s="6"/>
      <c r="I83" s="6"/>
      <c r="J83" s="330">
        <v>12</v>
      </c>
      <c r="K83" s="67">
        <v>0.8</v>
      </c>
      <c r="P83" s="256"/>
      <c r="U83" s="287"/>
    </row>
    <row r="84" spans="1:21">
      <c r="B84" s="6" t="s">
        <v>1276</v>
      </c>
      <c r="C84" s="6"/>
      <c r="D84" s="6"/>
      <c r="E84" s="71">
        <v>700</v>
      </c>
      <c r="F84" s="67">
        <v>0.6</v>
      </c>
      <c r="G84" s="6" t="s">
        <v>1276</v>
      </c>
      <c r="H84" s="6"/>
      <c r="I84" s="6"/>
      <c r="J84" s="329">
        <v>1200</v>
      </c>
      <c r="K84" s="67">
        <v>0.8</v>
      </c>
      <c r="P84" s="256"/>
      <c r="U84" s="287"/>
    </row>
    <row r="85" spans="1:21">
      <c r="B85" s="6" t="s">
        <v>59</v>
      </c>
      <c r="C85" s="6"/>
      <c r="D85" s="6"/>
      <c r="E85" s="53"/>
      <c r="F85" s="51"/>
      <c r="G85" s="6" t="s">
        <v>183</v>
      </c>
      <c r="H85" s="6"/>
      <c r="I85" s="6"/>
      <c r="J85" s="257"/>
      <c r="K85" s="286"/>
      <c r="P85" s="256"/>
      <c r="Q85" s="256"/>
      <c r="R85" s="256"/>
      <c r="S85" s="256"/>
      <c r="U85" s="287"/>
    </row>
    <row r="86" spans="1:21">
      <c r="A86" s="256"/>
      <c r="B86" s="6" t="s">
        <v>60</v>
      </c>
      <c r="C86" s="6"/>
      <c r="D86" s="6"/>
      <c r="E86" s="53"/>
      <c r="F86" s="51"/>
      <c r="G86" s="6" t="s">
        <v>58</v>
      </c>
      <c r="H86" s="6"/>
      <c r="I86" s="6"/>
      <c r="J86" s="257"/>
      <c r="K86" s="286"/>
      <c r="P86" s="256"/>
      <c r="Q86" s="256"/>
      <c r="R86" s="256"/>
      <c r="S86" s="256"/>
      <c r="U86" s="287"/>
    </row>
    <row r="87" spans="1:21">
      <c r="B87" s="6" t="s">
        <v>1187</v>
      </c>
      <c r="C87" s="6"/>
      <c r="D87" s="6"/>
      <c r="E87" s="71">
        <v>0</v>
      </c>
      <c r="F87" s="67">
        <v>0.5</v>
      </c>
      <c r="G87" s="6" t="s">
        <v>1187</v>
      </c>
      <c r="H87" s="6"/>
      <c r="I87" s="6"/>
      <c r="J87" s="329">
        <v>28800</v>
      </c>
      <c r="K87" s="67">
        <v>0.5</v>
      </c>
      <c r="P87" s="256"/>
      <c r="U87" s="287"/>
    </row>
    <row r="88" spans="1:21">
      <c r="B88" s="6" t="s">
        <v>1279</v>
      </c>
      <c r="C88" s="6"/>
      <c r="D88" s="6"/>
      <c r="E88" s="83">
        <v>0</v>
      </c>
      <c r="F88" s="67">
        <v>0.7</v>
      </c>
      <c r="G88" s="6" t="s">
        <v>1279</v>
      </c>
      <c r="H88" s="6"/>
      <c r="I88" s="6"/>
      <c r="J88" s="330">
        <v>4</v>
      </c>
      <c r="K88" s="67">
        <v>0.7</v>
      </c>
      <c r="P88" s="256"/>
      <c r="U88" s="287"/>
    </row>
    <row r="89" spans="1:21">
      <c r="B89" s="6" t="s">
        <v>1276</v>
      </c>
      <c r="C89" s="6"/>
      <c r="D89" s="6"/>
      <c r="E89" s="71">
        <v>0</v>
      </c>
      <c r="F89" s="67">
        <v>0.6</v>
      </c>
      <c r="G89" s="6" t="s">
        <v>1276</v>
      </c>
      <c r="H89" s="6"/>
      <c r="I89" s="6"/>
      <c r="J89" s="329">
        <v>600</v>
      </c>
      <c r="K89" s="67">
        <v>0.6</v>
      </c>
      <c r="P89" s="256"/>
      <c r="U89" s="287"/>
    </row>
    <row r="90" spans="1:21">
      <c r="B90" s="6" t="s">
        <v>62</v>
      </c>
      <c r="C90" s="6"/>
      <c r="D90" s="6"/>
      <c r="E90" s="53"/>
      <c r="F90" s="51"/>
      <c r="G90" s="6" t="s">
        <v>63</v>
      </c>
      <c r="H90" s="6"/>
      <c r="I90" s="6"/>
      <c r="J90" s="257"/>
      <c r="K90" s="286"/>
      <c r="P90" s="256"/>
      <c r="U90" s="287"/>
    </row>
    <row r="91" spans="1:21" ht="14">
      <c r="B91" s="6" t="s">
        <v>56</v>
      </c>
      <c r="C91" s="6"/>
      <c r="D91" s="6"/>
      <c r="E91" s="116"/>
      <c r="F91" s="51"/>
      <c r="G91" s="6" t="s">
        <v>58</v>
      </c>
      <c r="H91" s="6"/>
      <c r="I91" s="6"/>
      <c r="J91" s="257"/>
      <c r="K91" s="286"/>
      <c r="P91" s="164"/>
      <c r="U91" s="287"/>
    </row>
    <row r="92" spans="1:21">
      <c r="B92" s="6" t="s">
        <v>53</v>
      </c>
      <c r="C92" s="6"/>
      <c r="D92" s="6"/>
      <c r="E92" s="53"/>
      <c r="F92" s="51"/>
      <c r="G92" s="6" t="s">
        <v>1187</v>
      </c>
      <c r="H92" s="6"/>
      <c r="I92" s="6"/>
      <c r="J92" s="329">
        <v>64800</v>
      </c>
      <c r="K92" s="67">
        <v>0.5</v>
      </c>
      <c r="P92" s="256"/>
      <c r="U92" s="287"/>
    </row>
    <row r="93" spans="1:21" ht="15">
      <c r="B93" s="161" t="s">
        <v>512</v>
      </c>
      <c r="C93" s="6"/>
      <c r="D93" s="6"/>
      <c r="E93" s="194">
        <f>K25/K22</f>
        <v>0.20310837050216513</v>
      </c>
      <c r="F93" s="67"/>
      <c r="G93" s="6" t="s">
        <v>1279</v>
      </c>
      <c r="H93" s="6"/>
      <c r="I93" s="6"/>
      <c r="J93" s="330">
        <v>12</v>
      </c>
      <c r="K93" s="67">
        <v>0.7</v>
      </c>
      <c r="P93" s="256"/>
      <c r="U93" s="287"/>
    </row>
    <row r="94" spans="1:21">
      <c r="A94" s="256"/>
      <c r="B94" s="6" t="s">
        <v>1187</v>
      </c>
      <c r="C94" s="6"/>
      <c r="D94" s="6"/>
      <c r="E94" s="115">
        <v>36000</v>
      </c>
      <c r="F94" s="67">
        <v>0.5</v>
      </c>
      <c r="G94" s="6" t="s">
        <v>1276</v>
      </c>
      <c r="H94" s="6"/>
      <c r="I94" s="6"/>
      <c r="J94" s="329">
        <v>1800</v>
      </c>
      <c r="K94" s="67">
        <v>0.6</v>
      </c>
      <c r="P94" s="256"/>
      <c r="U94" s="287"/>
    </row>
    <row r="95" spans="1:21">
      <c r="B95" s="6" t="s">
        <v>1279</v>
      </c>
      <c r="C95" s="6"/>
      <c r="D95" s="6"/>
      <c r="E95" s="83">
        <v>16</v>
      </c>
      <c r="F95" s="67">
        <v>0.8</v>
      </c>
      <c r="G95" s="6" t="s">
        <v>246</v>
      </c>
      <c r="P95" s="256"/>
      <c r="U95" s="287"/>
    </row>
    <row r="96" spans="1:21">
      <c r="B96" s="6" t="s">
        <v>1276</v>
      </c>
      <c r="C96" s="6"/>
      <c r="D96" s="6"/>
      <c r="E96" s="71">
        <v>1200</v>
      </c>
      <c r="F96" s="67">
        <v>0.8</v>
      </c>
      <c r="G96" s="6" t="s">
        <v>237</v>
      </c>
      <c r="P96" s="256"/>
      <c r="U96" s="287"/>
    </row>
    <row r="97" spans="1:21">
      <c r="A97" s="256"/>
      <c r="B97" s="6" t="s">
        <v>59</v>
      </c>
      <c r="C97" s="6"/>
      <c r="D97" s="110"/>
      <c r="F97" s="116"/>
      <c r="G97" s="6" t="s">
        <v>1187</v>
      </c>
      <c r="H97" s="6"/>
      <c r="I97" s="6"/>
      <c r="J97" s="329">
        <v>7200</v>
      </c>
      <c r="K97" s="67">
        <v>0.4</v>
      </c>
      <c r="P97" s="256"/>
      <c r="U97" s="287"/>
    </row>
    <row r="98" spans="1:21">
      <c r="B98" s="6" t="s">
        <v>53</v>
      </c>
      <c r="C98" s="6"/>
      <c r="D98" s="6"/>
      <c r="E98" s="53"/>
      <c r="F98" s="51"/>
      <c r="G98" s="6" t="s">
        <v>1279</v>
      </c>
      <c r="H98" s="6"/>
      <c r="I98" s="6"/>
      <c r="J98" s="330">
        <v>7</v>
      </c>
      <c r="K98" s="67">
        <v>0.6</v>
      </c>
    </row>
    <row r="99" spans="1:21" ht="15">
      <c r="B99" s="161" t="s">
        <v>512</v>
      </c>
      <c r="C99" s="6"/>
      <c r="D99" s="6"/>
      <c r="E99" s="194">
        <f>K26/K22</f>
        <v>0.12252924698906503</v>
      </c>
      <c r="F99" s="67"/>
      <c r="G99" s="6" t="s">
        <v>1276</v>
      </c>
      <c r="H99" s="6"/>
      <c r="I99" s="6"/>
      <c r="J99" s="329">
        <v>200</v>
      </c>
      <c r="K99" s="67">
        <v>0.4</v>
      </c>
    </row>
    <row r="100" spans="1:21">
      <c r="B100" s="6" t="s">
        <v>1187</v>
      </c>
      <c r="C100" s="6"/>
      <c r="D100" s="6"/>
      <c r="E100" s="115">
        <v>0</v>
      </c>
      <c r="F100" s="67">
        <v>0.5</v>
      </c>
      <c r="G100" s="255" t="s">
        <v>673</v>
      </c>
      <c r="H100" s="4"/>
      <c r="I100" s="4"/>
      <c r="J100" s="8"/>
      <c r="K100" s="51"/>
    </row>
    <row r="101" spans="1:21">
      <c r="B101" s="6" t="s">
        <v>1279</v>
      </c>
      <c r="C101" s="6"/>
      <c r="D101" s="6"/>
      <c r="E101" s="83">
        <v>0</v>
      </c>
      <c r="F101" s="67">
        <v>0.8</v>
      </c>
      <c r="G101" s="256" t="s">
        <v>674</v>
      </c>
      <c r="H101" s="255"/>
      <c r="I101" s="255"/>
      <c r="J101" s="8"/>
      <c r="K101" s="51"/>
    </row>
    <row r="102" spans="1:21">
      <c r="B102" s="6" t="s">
        <v>1276</v>
      </c>
      <c r="C102" s="6"/>
      <c r="D102" s="6"/>
      <c r="E102" s="71">
        <v>0</v>
      </c>
      <c r="F102" s="67">
        <v>0.8</v>
      </c>
      <c r="G102" s="6" t="s">
        <v>58</v>
      </c>
      <c r="H102" s="6"/>
      <c r="I102" s="6"/>
      <c r="J102" s="8"/>
      <c r="K102" s="51"/>
    </row>
    <row r="103" spans="1:21">
      <c r="B103" s="6" t="s">
        <v>226</v>
      </c>
      <c r="C103" s="6"/>
      <c r="D103" s="6"/>
      <c r="E103" s="53"/>
      <c r="F103" s="116"/>
      <c r="G103" s="6" t="s">
        <v>188</v>
      </c>
      <c r="H103" s="6"/>
      <c r="I103" s="6"/>
      <c r="J103" s="382">
        <v>67</v>
      </c>
      <c r="K103" s="381" t="s">
        <v>672</v>
      </c>
    </row>
    <row r="104" spans="1:21">
      <c r="B104" s="6" t="s">
        <v>193</v>
      </c>
      <c r="C104" s="6"/>
      <c r="D104" s="6"/>
      <c r="E104" s="99"/>
      <c r="F104" s="72"/>
      <c r="G104" s="6" t="s">
        <v>1187</v>
      </c>
      <c r="H104" s="6"/>
      <c r="I104" s="6"/>
      <c r="J104" s="329">
        <v>21600</v>
      </c>
      <c r="K104" s="67">
        <v>0.6</v>
      </c>
    </row>
    <row r="105" spans="1:21">
      <c r="B105" s="6" t="s">
        <v>1187</v>
      </c>
      <c r="C105" s="6"/>
      <c r="D105" s="6"/>
      <c r="E105" s="329">
        <v>14400</v>
      </c>
      <c r="F105" s="109">
        <v>0.4</v>
      </c>
      <c r="G105" s="6" t="s">
        <v>1279</v>
      </c>
      <c r="H105" s="6"/>
      <c r="I105" s="6"/>
      <c r="J105" s="330">
        <v>28.75</v>
      </c>
      <c r="K105" s="67">
        <v>0.7</v>
      </c>
    </row>
    <row r="106" spans="1:21">
      <c r="B106" s="6" t="s">
        <v>1279</v>
      </c>
      <c r="C106" s="6"/>
      <c r="D106" s="6"/>
      <c r="E106" s="330">
        <v>15</v>
      </c>
      <c r="F106" s="109">
        <v>0.6</v>
      </c>
      <c r="G106" s="6" t="s">
        <v>1276</v>
      </c>
      <c r="H106" s="6"/>
      <c r="I106" s="6"/>
      <c r="J106" s="329">
        <v>1600</v>
      </c>
      <c r="K106" s="67">
        <v>0.8</v>
      </c>
    </row>
    <row r="107" spans="1:21">
      <c r="A107" s="256"/>
      <c r="B107" s="6" t="s">
        <v>1276</v>
      </c>
      <c r="C107" s="6"/>
      <c r="D107" s="6"/>
      <c r="E107" s="71">
        <v>500</v>
      </c>
      <c r="F107" s="109">
        <v>0.6</v>
      </c>
      <c r="G107" s="256" t="s">
        <v>64</v>
      </c>
      <c r="H107" s="255"/>
      <c r="I107" s="255"/>
      <c r="J107" s="257"/>
      <c r="K107" s="286"/>
    </row>
    <row r="108" spans="1:21">
      <c r="B108" s="6" t="s">
        <v>180</v>
      </c>
      <c r="C108" s="6"/>
      <c r="D108" s="6"/>
      <c r="E108" s="53"/>
      <c r="F108" s="51"/>
      <c r="G108" s="256" t="s">
        <v>58</v>
      </c>
      <c r="H108" s="255"/>
      <c r="I108" s="255"/>
      <c r="J108" s="257"/>
      <c r="K108" s="286"/>
    </row>
    <row r="109" spans="1:21">
      <c r="B109" s="6" t="s">
        <v>56</v>
      </c>
      <c r="C109" s="6"/>
      <c r="D109" s="6"/>
      <c r="E109" s="53"/>
      <c r="F109" s="51"/>
      <c r="G109" s="256" t="s">
        <v>188</v>
      </c>
      <c r="H109" s="256"/>
      <c r="I109" s="256"/>
      <c r="J109" s="382">
        <v>67</v>
      </c>
      <c r="K109" s="381" t="s">
        <v>672</v>
      </c>
    </row>
    <row r="110" spans="1:21">
      <c r="B110" s="6" t="s">
        <v>53</v>
      </c>
      <c r="C110" s="6"/>
      <c r="D110" s="6"/>
      <c r="E110" s="53"/>
      <c r="F110" s="51"/>
      <c r="G110" s="256" t="s">
        <v>1187</v>
      </c>
      <c r="H110" s="256"/>
      <c r="I110" s="256"/>
      <c r="J110" s="329">
        <v>36000</v>
      </c>
      <c r="K110" s="67">
        <v>0.6</v>
      </c>
    </row>
    <row r="111" spans="1:21">
      <c r="B111" s="6" t="s">
        <v>1187</v>
      </c>
      <c r="C111" s="6"/>
      <c r="D111" s="6"/>
      <c r="E111" s="329">
        <v>28800</v>
      </c>
      <c r="F111" s="67">
        <v>0.5</v>
      </c>
      <c r="G111" s="256" t="s">
        <v>1279</v>
      </c>
      <c r="H111" s="256"/>
      <c r="I111" s="256"/>
      <c r="J111" s="330">
        <v>28</v>
      </c>
      <c r="K111" s="67">
        <v>0.7</v>
      </c>
    </row>
    <row r="112" spans="1:21">
      <c r="B112" s="6" t="s">
        <v>1279</v>
      </c>
      <c r="C112" s="6"/>
      <c r="D112" s="6"/>
      <c r="E112" s="330">
        <v>2.5</v>
      </c>
      <c r="F112" s="67">
        <v>0.7</v>
      </c>
      <c r="G112" s="256" t="s">
        <v>1276</v>
      </c>
      <c r="H112" s="256"/>
      <c r="I112" s="256"/>
      <c r="J112" s="329">
        <v>350</v>
      </c>
      <c r="K112" s="67">
        <v>0.8</v>
      </c>
    </row>
    <row r="113" spans="2:11">
      <c r="B113" s="6" t="s">
        <v>1276</v>
      </c>
      <c r="C113" s="6"/>
      <c r="D113" s="6"/>
      <c r="E113" s="71">
        <v>500</v>
      </c>
      <c r="F113" s="67">
        <v>0.6</v>
      </c>
      <c r="G113" s="256" t="s">
        <v>238</v>
      </c>
      <c r="H113" s="255"/>
      <c r="I113" s="255"/>
      <c r="J113" s="257"/>
      <c r="K113" s="311"/>
    </row>
    <row r="114" spans="2:11">
      <c r="B114" s="6" t="s">
        <v>59</v>
      </c>
      <c r="C114" s="6"/>
      <c r="D114" s="6"/>
      <c r="E114" s="51"/>
      <c r="F114" s="15"/>
      <c r="G114" s="256" t="s">
        <v>58</v>
      </c>
      <c r="H114" s="256"/>
      <c r="I114" s="256"/>
      <c r="J114" s="257"/>
      <c r="K114" s="311"/>
    </row>
    <row r="115" spans="2:11">
      <c r="B115" s="6" t="s">
        <v>53</v>
      </c>
      <c r="C115" s="6"/>
      <c r="D115" s="6"/>
      <c r="E115" s="51"/>
      <c r="F115" s="15"/>
      <c r="G115" s="256" t="s">
        <v>1187</v>
      </c>
      <c r="H115" s="256"/>
      <c r="I115" s="256"/>
      <c r="J115" s="329">
        <v>10800</v>
      </c>
      <c r="K115" s="67">
        <v>0.4</v>
      </c>
    </row>
    <row r="116" spans="2:11">
      <c r="B116" s="6" t="s">
        <v>1187</v>
      </c>
      <c r="C116" s="6"/>
      <c r="D116" s="6"/>
      <c r="E116" s="329">
        <v>0</v>
      </c>
      <c r="F116" s="67">
        <v>0.5</v>
      </c>
      <c r="G116" s="256" t="s">
        <v>1279</v>
      </c>
      <c r="H116" s="256"/>
      <c r="I116" s="256"/>
      <c r="J116" s="330">
        <v>4</v>
      </c>
      <c r="K116" s="67">
        <v>0.7</v>
      </c>
    </row>
    <row r="117" spans="2:11">
      <c r="B117" s="6" t="s">
        <v>1279</v>
      </c>
      <c r="C117" s="6"/>
      <c r="D117" s="6"/>
      <c r="E117" s="330">
        <v>0</v>
      </c>
      <c r="F117" s="67">
        <v>0.7</v>
      </c>
      <c r="G117" s="256" t="s">
        <v>1276</v>
      </c>
      <c r="H117" s="256"/>
      <c r="I117" s="256"/>
      <c r="J117" s="329">
        <v>1800</v>
      </c>
      <c r="K117" s="67">
        <v>0.6</v>
      </c>
    </row>
    <row r="118" spans="2:11">
      <c r="B118" s="6" t="s">
        <v>1276</v>
      </c>
      <c r="C118" s="6"/>
      <c r="D118" s="6"/>
      <c r="E118" s="71">
        <v>0</v>
      </c>
      <c r="F118" s="67">
        <v>0.6</v>
      </c>
      <c r="G118" s="256" t="s">
        <v>675</v>
      </c>
      <c r="H118" s="255"/>
      <c r="I118" s="255"/>
      <c r="J118" s="257"/>
      <c r="K118" s="311"/>
    </row>
    <row r="119" spans="2:11">
      <c r="B119" s="4" t="s">
        <v>239</v>
      </c>
      <c r="C119" s="4"/>
      <c r="D119" s="4"/>
      <c r="E119" s="8"/>
      <c r="F119" s="52"/>
      <c r="G119" s="256" t="s">
        <v>58</v>
      </c>
      <c r="H119" s="256"/>
      <c r="I119" s="256"/>
      <c r="J119" s="257"/>
      <c r="K119" s="311"/>
    </row>
    <row r="120" spans="2:11">
      <c r="B120" s="6" t="s">
        <v>53</v>
      </c>
      <c r="C120" s="6"/>
      <c r="D120" s="6"/>
      <c r="E120" s="8"/>
      <c r="F120" s="52"/>
      <c r="G120" s="256" t="s">
        <v>1187</v>
      </c>
      <c r="H120" s="256"/>
      <c r="I120" s="256"/>
      <c r="J120" s="329">
        <v>28800</v>
      </c>
      <c r="K120" s="67">
        <v>0.5</v>
      </c>
    </row>
    <row r="121" spans="2:11">
      <c r="B121" s="6" t="s">
        <v>1187</v>
      </c>
      <c r="C121" s="6"/>
      <c r="D121" s="6"/>
      <c r="E121" s="71">
        <v>57600</v>
      </c>
      <c r="F121" s="67">
        <v>0.7</v>
      </c>
      <c r="G121" s="256" t="s">
        <v>1279</v>
      </c>
      <c r="H121" s="256"/>
      <c r="I121" s="256"/>
      <c r="J121" s="330">
        <v>15</v>
      </c>
      <c r="K121" s="67">
        <v>0.7</v>
      </c>
    </row>
    <row r="122" spans="2:11">
      <c r="B122" s="6" t="s">
        <v>1279</v>
      </c>
      <c r="C122" s="6"/>
      <c r="D122" s="6"/>
      <c r="E122" s="83">
        <v>4</v>
      </c>
      <c r="F122" s="67">
        <v>0.7</v>
      </c>
      <c r="G122" s="256" t="s">
        <v>1276</v>
      </c>
      <c r="H122" s="256"/>
      <c r="I122" s="256"/>
      <c r="J122" s="329">
        <v>600</v>
      </c>
      <c r="K122" s="67">
        <v>0.6</v>
      </c>
    </row>
    <row r="123" spans="2:11">
      <c r="B123" s="6" t="s">
        <v>1276</v>
      </c>
      <c r="C123" s="6"/>
      <c r="D123" s="6"/>
      <c r="E123" s="71">
        <v>2100</v>
      </c>
      <c r="F123" s="67">
        <v>0.6</v>
      </c>
      <c r="G123" s="4" t="s">
        <v>65</v>
      </c>
      <c r="H123" s="4"/>
      <c r="I123" s="4"/>
      <c r="J123" s="8"/>
      <c r="K123" s="52"/>
    </row>
    <row r="124" spans="2:11">
      <c r="B124" s="4" t="s">
        <v>240</v>
      </c>
      <c r="C124" s="6"/>
      <c r="D124" s="6"/>
      <c r="E124" s="8"/>
      <c r="F124" s="51"/>
      <c r="G124" s="6" t="s">
        <v>58</v>
      </c>
      <c r="H124" s="6"/>
      <c r="I124" s="6"/>
      <c r="J124" s="8"/>
      <c r="K124" s="52"/>
    </row>
    <row r="125" spans="2:11">
      <c r="B125" s="6" t="s">
        <v>53</v>
      </c>
      <c r="C125" s="6"/>
      <c r="D125" s="6"/>
      <c r="E125" s="8"/>
      <c r="F125" s="51"/>
      <c r="G125" s="6" t="s">
        <v>1187</v>
      </c>
      <c r="H125" s="6"/>
      <c r="I125" s="6"/>
      <c r="J125" s="329">
        <v>86400</v>
      </c>
      <c r="K125" s="67">
        <v>0.5</v>
      </c>
    </row>
    <row r="126" spans="2:11">
      <c r="B126" s="6" t="s">
        <v>1187</v>
      </c>
      <c r="C126" s="6"/>
      <c r="D126" s="6"/>
      <c r="E126" s="71">
        <v>43200</v>
      </c>
      <c r="F126" s="67">
        <v>0.5</v>
      </c>
      <c r="G126" s="6" t="s">
        <v>1279</v>
      </c>
      <c r="H126" s="6"/>
      <c r="I126" s="6"/>
      <c r="J126" s="330">
        <v>16</v>
      </c>
      <c r="K126" s="67">
        <v>0.7</v>
      </c>
    </row>
    <row r="127" spans="2:11">
      <c r="B127" s="6" t="s">
        <v>1279</v>
      </c>
      <c r="C127" s="6"/>
      <c r="D127" s="6"/>
      <c r="E127" s="83">
        <v>4</v>
      </c>
      <c r="F127" s="67">
        <v>0.7</v>
      </c>
      <c r="G127" s="6" t="s">
        <v>1276</v>
      </c>
      <c r="H127" s="6"/>
      <c r="I127" s="6"/>
      <c r="J127" s="329">
        <v>1200</v>
      </c>
      <c r="K127" s="67">
        <v>0.6</v>
      </c>
    </row>
    <row r="128" spans="2:11">
      <c r="B128" s="6" t="s">
        <v>1276</v>
      </c>
      <c r="C128" s="6"/>
      <c r="D128" s="6"/>
      <c r="E128" s="71">
        <v>500</v>
      </c>
      <c r="F128" s="67">
        <v>0.6</v>
      </c>
      <c r="G128" s="4" t="s">
        <v>184</v>
      </c>
      <c r="H128" s="4"/>
      <c r="I128" s="4"/>
      <c r="J128" s="257"/>
      <c r="K128" s="311"/>
    </row>
    <row r="129" spans="2:11">
      <c r="B129" s="4" t="s">
        <v>241</v>
      </c>
      <c r="G129" s="6" t="s">
        <v>58</v>
      </c>
      <c r="H129" s="6"/>
      <c r="I129" s="6"/>
      <c r="J129" s="257"/>
      <c r="K129" s="311"/>
    </row>
    <row r="130" spans="2:11">
      <c r="B130" s="6" t="s">
        <v>53</v>
      </c>
      <c r="C130" s="6"/>
      <c r="D130" s="6"/>
      <c r="G130" s="6" t="s">
        <v>272</v>
      </c>
      <c r="H130" s="6"/>
      <c r="I130" s="6"/>
      <c r="J130" s="384">
        <v>20</v>
      </c>
      <c r="K130" s="67">
        <v>0.3</v>
      </c>
    </row>
    <row r="131" spans="2:11">
      <c r="B131" s="6" t="s">
        <v>1187</v>
      </c>
      <c r="C131" s="6"/>
      <c r="D131" s="6"/>
      <c r="E131" s="71">
        <f>28800/2</f>
        <v>14400</v>
      </c>
      <c r="F131" s="67">
        <v>0.5</v>
      </c>
      <c r="G131" s="6" t="s">
        <v>1187</v>
      </c>
      <c r="H131" s="6"/>
      <c r="I131" s="6"/>
      <c r="J131" s="329">
        <v>72000</v>
      </c>
      <c r="K131" s="67">
        <v>0.5</v>
      </c>
    </row>
    <row r="132" spans="2:11">
      <c r="B132" s="6" t="s">
        <v>1279</v>
      </c>
      <c r="C132" s="6"/>
      <c r="D132" s="6"/>
      <c r="E132" s="83">
        <f>4/2</f>
        <v>2</v>
      </c>
      <c r="F132" s="67">
        <v>0.7</v>
      </c>
      <c r="G132" s="6" t="s">
        <v>1279</v>
      </c>
      <c r="H132" s="6"/>
      <c r="I132" s="6"/>
      <c r="J132" s="330">
        <v>11</v>
      </c>
      <c r="K132" s="67">
        <v>0.7</v>
      </c>
    </row>
    <row r="133" spans="2:11">
      <c r="B133" s="6" t="s">
        <v>1276</v>
      </c>
      <c r="C133" s="6"/>
      <c r="D133" s="6"/>
      <c r="E133" s="71">
        <f>600/2</f>
        <v>300</v>
      </c>
      <c r="F133" s="67">
        <v>0.6</v>
      </c>
      <c r="G133" s="6" t="s">
        <v>1276</v>
      </c>
      <c r="H133" s="6"/>
      <c r="I133" s="6"/>
      <c r="J133" s="329">
        <v>1500</v>
      </c>
      <c r="K133" s="67">
        <v>0.6</v>
      </c>
    </row>
    <row r="134" spans="2:11">
      <c r="B134" s="4" t="s">
        <v>372</v>
      </c>
      <c r="G134" s="4" t="s">
        <v>66</v>
      </c>
      <c r="H134" s="4"/>
      <c r="I134" s="4"/>
      <c r="J134" s="286"/>
      <c r="K134" s="15"/>
    </row>
    <row r="135" spans="2:11">
      <c r="B135" s="6" t="s">
        <v>52</v>
      </c>
      <c r="C135" s="6"/>
      <c r="D135" s="6"/>
      <c r="E135" s="10"/>
      <c r="F135" s="51"/>
      <c r="G135" s="6" t="s">
        <v>58</v>
      </c>
      <c r="H135" s="6"/>
      <c r="I135" s="6"/>
      <c r="J135" s="286"/>
      <c r="K135" s="15"/>
    </row>
    <row r="136" spans="2:11">
      <c r="B136" s="6" t="s">
        <v>1187</v>
      </c>
      <c r="C136" s="6"/>
      <c r="D136" s="6"/>
      <c r="E136" s="71">
        <v>57600</v>
      </c>
      <c r="F136" s="67">
        <v>0.5</v>
      </c>
      <c r="G136" s="6" t="s">
        <v>1187</v>
      </c>
      <c r="H136" s="6"/>
      <c r="I136" s="6"/>
      <c r="J136" s="329">
        <v>9600</v>
      </c>
      <c r="K136" s="67">
        <v>0.7</v>
      </c>
    </row>
    <row r="137" spans="2:11">
      <c r="B137" s="6" t="s">
        <v>1279</v>
      </c>
      <c r="C137" s="6"/>
      <c r="D137" s="6"/>
      <c r="E137" s="58">
        <v>5</v>
      </c>
      <c r="F137" s="67">
        <v>0.7</v>
      </c>
      <c r="G137" s="6" t="s">
        <v>1279</v>
      </c>
      <c r="H137" s="6"/>
      <c r="I137" s="6"/>
      <c r="J137" s="330">
        <v>2</v>
      </c>
      <c r="K137" s="67">
        <v>0.7</v>
      </c>
    </row>
    <row r="138" spans="2:11">
      <c r="B138" s="6" t="s">
        <v>1276</v>
      </c>
      <c r="C138" s="6"/>
      <c r="D138" s="6"/>
      <c r="E138" s="70">
        <v>500</v>
      </c>
      <c r="F138" s="67">
        <v>0.6</v>
      </c>
      <c r="G138" s="6" t="s">
        <v>1276</v>
      </c>
      <c r="H138" s="6"/>
      <c r="I138" s="6"/>
      <c r="J138" s="329">
        <v>1000</v>
      </c>
      <c r="K138" s="67">
        <v>0.6</v>
      </c>
    </row>
    <row r="139" spans="2:11">
      <c r="G139" s="4" t="s">
        <v>67</v>
      </c>
      <c r="H139" s="4"/>
      <c r="I139" s="4"/>
      <c r="J139" s="286"/>
      <c r="K139" s="15"/>
    </row>
    <row r="140" spans="2:11">
      <c r="G140" s="6" t="s">
        <v>52</v>
      </c>
      <c r="H140" s="6"/>
      <c r="I140" s="6"/>
      <c r="J140" s="286"/>
      <c r="K140" s="15"/>
    </row>
    <row r="141" spans="2:11">
      <c r="G141" s="6" t="s">
        <v>1187</v>
      </c>
      <c r="H141" s="6"/>
      <c r="I141" s="6"/>
      <c r="J141" s="329">
        <v>72000</v>
      </c>
      <c r="K141" s="67">
        <v>0.5</v>
      </c>
    </row>
    <row r="142" spans="2:11">
      <c r="G142" s="6" t="s">
        <v>1279</v>
      </c>
      <c r="H142" s="6"/>
      <c r="I142" s="6"/>
      <c r="J142" s="330">
        <v>20</v>
      </c>
      <c r="K142" s="67">
        <v>0.7</v>
      </c>
    </row>
    <row r="143" spans="2:11">
      <c r="G143" s="6" t="s">
        <v>1276</v>
      </c>
      <c r="H143" s="6"/>
      <c r="I143" s="6"/>
      <c r="J143" s="329">
        <v>2500</v>
      </c>
      <c r="K143" s="67">
        <v>0.6</v>
      </c>
    </row>
    <row r="144" spans="2:11">
      <c r="G144" s="385" t="s">
        <v>676</v>
      </c>
      <c r="H144" s="385"/>
      <c r="I144" s="191"/>
      <c r="J144" s="191"/>
      <c r="K144" s="191"/>
    </row>
    <row r="145" spans="2:11">
      <c r="G145" s="385" t="s">
        <v>677</v>
      </c>
    </row>
    <row r="147" spans="2:11" ht="14" thickBot="1"/>
    <row r="148" spans="2:11" ht="17" thickBot="1">
      <c r="B148" s="745" t="s">
        <v>985</v>
      </c>
      <c r="C148" s="750"/>
      <c r="D148" s="750"/>
      <c r="E148" s="750"/>
      <c r="F148" s="750"/>
      <c r="G148" s="750"/>
      <c r="H148" s="750"/>
      <c r="I148" s="750"/>
      <c r="J148" s="750"/>
      <c r="K148" s="751"/>
    </row>
    <row r="149" spans="2:11">
      <c r="B149" s="161" t="s">
        <v>1191</v>
      </c>
      <c r="E149" s="119">
        <f>E75+E82+E87+E94+E100+E105+E111+E116+E121+E126+E131+E136+J77+J82+J87+J92+J97+J104+J110+J115+J120+J125+J131+J136+J141</f>
        <v>879600</v>
      </c>
    </row>
    <row r="150" spans="2:11">
      <c r="B150" s="161" t="s">
        <v>1283</v>
      </c>
      <c r="E150" s="120">
        <f>E76+E83+E88+E95+E101+E106+E112+E117+E122+E127+E132+E137+J78+J83+J88+J93+J98+J105+J111+J116+J121+J126+J132+J137+J142</f>
        <v>231.25</v>
      </c>
    </row>
    <row r="151" spans="2:11">
      <c r="B151" s="161" t="s">
        <v>1278</v>
      </c>
      <c r="E151" s="119">
        <f>E77+E84+E89+E96+E102+E107+E113+E118+E123+E128+E133+E138+J79+J84+J89+J94+J99+J106+J112+J117+J122+J127+J133+J138+J143</f>
        <v>24050</v>
      </c>
    </row>
    <row r="155" spans="2:11" ht="12.75" customHeight="1"/>
    <row r="156" spans="2:11" ht="12.75" customHeight="1"/>
    <row r="157" spans="2:11" ht="12.75" customHeight="1"/>
    <row r="160" spans="2:11">
      <c r="J160" s="168"/>
    </row>
    <row r="161" spans="10:10">
      <c r="J161" s="168"/>
    </row>
    <row r="279" spans="6:6">
      <c r="F279" s="65"/>
    </row>
  </sheetData>
  <mergeCells count="5">
    <mergeCell ref="B1:K1"/>
    <mergeCell ref="D31:E31"/>
    <mergeCell ref="B64:D64"/>
    <mergeCell ref="B2:K2"/>
    <mergeCell ref="B4:K4"/>
  </mergeCells>
  <phoneticPr fontId="7" type="noConversion"/>
  <printOptions horizontalCentered="1"/>
  <pageMargins left="0.5" right="0.5" top="0.5" bottom="0.5" header="0.5" footer="0.5"/>
  <pageSetup scale="77" fitToHeight="2" orientation="portrait" verticalDpi="300" r:id="rId1"/>
  <headerFooter alignWithMargins="0">
    <oddFooter>&amp;C &amp;P&amp;R&amp;D, &amp;D</oddFooter>
  </headerFooter>
  <rowBreaks count="1" manualBreakCount="1">
    <brk id="69" min="1" max="10" man="1"/>
  </row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indexed="38"/>
  </sheetPr>
  <dimension ref="A1:AC198"/>
  <sheetViews>
    <sheetView zoomScale="120" zoomScaleNormal="120" workbookViewId="0">
      <pane ySplit="3" topLeftCell="A4" activePane="bottomLeft" state="frozen"/>
      <selection pane="bottomLeft" activeCell="R4" sqref="R4"/>
    </sheetView>
  </sheetViews>
  <sheetFormatPr baseColWidth="10" defaultColWidth="8.83203125" defaultRowHeight="13"/>
  <cols>
    <col min="2" max="2" width="10.6640625" customWidth="1"/>
    <col min="3" max="3" width="13.33203125" customWidth="1"/>
    <col min="4" max="4" width="11" customWidth="1"/>
    <col min="5" max="5" width="12.6640625" customWidth="1"/>
    <col min="6" max="6" width="13.83203125" customWidth="1"/>
    <col min="7" max="11" width="10.6640625" customWidth="1"/>
    <col min="12" max="12" width="10.1640625" customWidth="1"/>
    <col min="13" max="13" width="10" customWidth="1"/>
    <col min="14" max="14" width="10.5" customWidth="1"/>
    <col min="16" max="16" width="10.5" customWidth="1"/>
    <col min="17" max="17" width="10.83203125" customWidth="1"/>
    <col min="18" max="18" width="11.5" customWidth="1"/>
    <col min="22" max="22" width="10.1640625" customWidth="1"/>
  </cols>
  <sheetData>
    <row r="1" spans="2:29" ht="18">
      <c r="B1" s="1277" t="s">
        <v>291</v>
      </c>
      <c r="C1" s="1277"/>
      <c r="D1" s="1277"/>
      <c r="E1" s="1277"/>
      <c r="F1" s="1277"/>
      <c r="G1" s="1277"/>
      <c r="H1" s="1277"/>
      <c r="I1" s="1277"/>
      <c r="J1" s="1277"/>
      <c r="K1" s="1277"/>
      <c r="L1" s="1277"/>
      <c r="M1" s="1277"/>
    </row>
    <row r="2" spans="2:29" ht="15.25" customHeight="1">
      <c r="B2" s="1213" t="s">
        <v>687</v>
      </c>
      <c r="C2" s="12"/>
      <c r="D2" s="1214"/>
      <c r="E2" s="1215"/>
      <c r="G2" s="223"/>
      <c r="H2" s="223"/>
      <c r="I2" s="223"/>
      <c r="J2" s="223"/>
      <c r="K2" s="223"/>
      <c r="L2" s="223"/>
      <c r="M2" s="223"/>
      <c r="P2" s="41"/>
    </row>
    <row r="3" spans="2:29" ht="15.25" customHeight="1" thickBot="1">
      <c r="B3" s="323" t="s">
        <v>688</v>
      </c>
      <c r="C3" s="75"/>
      <c r="D3" s="93"/>
      <c r="E3" s="413"/>
      <c r="G3" s="214" t="s">
        <v>0</v>
      </c>
      <c r="H3" s="214" t="s">
        <v>1</v>
      </c>
      <c r="I3" s="214" t="s">
        <v>2</v>
      </c>
      <c r="J3" s="214" t="s">
        <v>3</v>
      </c>
      <c r="K3" s="214" t="s">
        <v>4</v>
      </c>
      <c r="L3" s="214" t="s">
        <v>530</v>
      </c>
      <c r="M3" s="214" t="s">
        <v>531</v>
      </c>
      <c r="P3" s="41"/>
    </row>
    <row r="4" spans="2:29" ht="14">
      <c r="B4" s="164" t="s">
        <v>424</v>
      </c>
      <c r="G4" s="43"/>
      <c r="H4" s="43"/>
      <c r="I4" s="43"/>
      <c r="J4" s="43"/>
      <c r="K4" s="43"/>
      <c r="L4" s="43"/>
      <c r="M4" s="43"/>
    </row>
    <row r="5" spans="2:29">
      <c r="B5" s="54" t="s">
        <v>547</v>
      </c>
      <c r="C5" s="54"/>
      <c r="D5" s="54"/>
      <c r="E5" s="54"/>
      <c r="F5" s="54"/>
      <c r="G5" s="43"/>
      <c r="H5" s="43"/>
      <c r="I5" s="43"/>
      <c r="J5" s="43"/>
      <c r="K5" s="43"/>
      <c r="L5" s="43"/>
      <c r="M5" s="43"/>
    </row>
    <row r="6" spans="2:29" s="54" customFormat="1">
      <c r="F6" s="235" t="s">
        <v>514</v>
      </c>
      <c r="G6" s="173"/>
      <c r="H6" s="172"/>
      <c r="I6" s="172"/>
      <c r="J6" s="172"/>
      <c r="K6" s="172"/>
      <c r="L6" s="172"/>
      <c r="M6" s="172"/>
    </row>
    <row r="7" spans="2:29">
      <c r="B7" s="171" t="s">
        <v>558</v>
      </c>
      <c r="C7" s="161"/>
      <c r="D7" s="161"/>
      <c r="F7" s="187">
        <v>250</v>
      </c>
      <c r="G7" s="21">
        <f>'Battery Design'!G191</f>
        <v>250</v>
      </c>
      <c r="H7" s="21">
        <f>'Battery Design'!H191</f>
        <v>250</v>
      </c>
      <c r="I7" s="21">
        <f>'Battery Design'!I191</f>
        <v>250</v>
      </c>
      <c r="J7" s="21">
        <f>'Battery Design'!J191</f>
        <v>250</v>
      </c>
      <c r="K7" s="21">
        <f>'Battery Design'!K191</f>
        <v>250</v>
      </c>
      <c r="L7" s="21">
        <f>'Battery Design'!L191</f>
        <v>250</v>
      </c>
      <c r="M7" s="21">
        <f>'Battery Design'!M191</f>
        <v>250</v>
      </c>
      <c r="N7" s="240"/>
      <c r="Q7" s="21"/>
      <c r="R7" s="21"/>
      <c r="S7" s="21"/>
      <c r="T7" s="21"/>
      <c r="U7" s="21"/>
    </row>
    <row r="8" spans="2:29">
      <c r="B8" s="161" t="s">
        <v>430</v>
      </c>
      <c r="F8" s="187">
        <v>58</v>
      </c>
      <c r="G8" s="239">
        <f ca="1">IF(Dashboard!$D56=0,$F8,IF(G16=G7/1000*G9,G9,G9-G10*(G16-G7/1000*G9)))</f>
        <v>58.015429646576891</v>
      </c>
      <c r="H8" s="239">
        <f ca="1">IF(Dashboard!$D56=0,$F8,IF(H16=H7/1000*H9,H9,H9-H10*(H16-H7/1000*H9)))</f>
        <v>58.015429646576891</v>
      </c>
      <c r="I8" s="239">
        <f ca="1">IF(Dashboard!$D56=0,$F8,IF(I16=I7/1000*I9,I9,I9-I10*(I16-I7/1000*I9)))</f>
        <v>58.015429646576891</v>
      </c>
      <c r="J8" s="239">
        <f ca="1">IF(Dashboard!$D56=0,$F8,IF(J16=J7/1000*J9,J9,J9-J10*(J16-J7/1000*J9)))</f>
        <v>58.015429646576891</v>
      </c>
      <c r="K8" s="239">
        <f ca="1">IF(Dashboard!$D56=0,$F8,IF(K16=K7/1000*K9,K9,K9-K10*(K16-K7/1000*K9)))</f>
        <v>58.015429646577203</v>
      </c>
      <c r="L8" s="239">
        <f ca="1">IF(Dashboard!$D56=0,$F8,IF(L16=L7/1000*L9,L9,L9-L10*(L16-L7/1000*L9)))</f>
        <v>58.015429646576891</v>
      </c>
      <c r="M8" s="239">
        <f ca="1">IF(Dashboard!$D56=0,$F8,IF(M16=M7/1000*M9,M9,M9-M10*(M16-M7/1000*M9)))</f>
        <v>58.015429646576891</v>
      </c>
      <c r="N8" s="76"/>
      <c r="O8" s="161"/>
      <c r="P8" s="161"/>
      <c r="Q8" s="101"/>
      <c r="R8" s="101"/>
      <c r="S8" s="101"/>
      <c r="T8" s="101"/>
      <c r="U8" s="101"/>
    </row>
    <row r="9" spans="2:29">
      <c r="B9" s="161" t="s">
        <v>613</v>
      </c>
      <c r="F9" s="84"/>
      <c r="G9" s="239">
        <f t="shared" ref="G9" ca="1" si="0">G8</f>
        <v>58.015429646576891</v>
      </c>
      <c r="H9" s="239">
        <f t="shared" ref="H9:M9" ca="1" si="1">H8</f>
        <v>58.015429646576891</v>
      </c>
      <c r="I9" s="239">
        <f t="shared" ca="1" si="1"/>
        <v>58.015429646576891</v>
      </c>
      <c r="J9" s="239">
        <f t="shared" ca="1" si="1"/>
        <v>58.015429646576891</v>
      </c>
      <c r="K9" s="239">
        <f t="shared" ca="1" si="1"/>
        <v>58.015429646577203</v>
      </c>
      <c r="L9" s="239">
        <f t="shared" ca="1" si="1"/>
        <v>58.015429646576891</v>
      </c>
      <c r="M9" s="239">
        <f t="shared" ca="1" si="1"/>
        <v>58.015429646576891</v>
      </c>
      <c r="N9" s="76"/>
      <c r="O9" s="161"/>
      <c r="P9" s="161"/>
      <c r="Q9" s="101"/>
      <c r="R9" s="101"/>
      <c r="S9" s="101"/>
      <c r="T9" s="101"/>
      <c r="U9" s="101"/>
    </row>
    <row r="10" spans="2:29">
      <c r="B10" s="161" t="s">
        <v>612</v>
      </c>
      <c r="F10" s="84"/>
      <c r="G10" s="252">
        <v>1</v>
      </c>
      <c r="H10" s="252">
        <v>1</v>
      </c>
      <c r="I10" s="252">
        <v>1</v>
      </c>
      <c r="J10" s="252">
        <v>1</v>
      </c>
      <c r="K10" s="252">
        <v>1</v>
      </c>
      <c r="L10" s="252">
        <v>1</v>
      </c>
      <c r="M10" s="252">
        <v>1</v>
      </c>
      <c r="N10" s="76"/>
      <c r="O10" s="161"/>
      <c r="P10" s="161"/>
      <c r="Q10" s="101"/>
      <c r="R10" s="101"/>
      <c r="S10" s="101"/>
      <c r="T10" s="101"/>
      <c r="U10" s="101"/>
    </row>
    <row r="11" spans="2:29">
      <c r="B11" s="171" t="s">
        <v>515</v>
      </c>
      <c r="F11" s="84"/>
      <c r="G11" s="85"/>
      <c r="H11" s="85"/>
      <c r="I11" s="85"/>
      <c r="J11" s="85"/>
      <c r="K11" s="85"/>
      <c r="L11" s="85"/>
      <c r="M11" s="85"/>
      <c r="P11" s="12"/>
      <c r="Q11" s="133"/>
      <c r="R11" s="133"/>
      <c r="S11" s="133"/>
      <c r="T11" s="133"/>
      <c r="U11" s="72"/>
    </row>
    <row r="12" spans="2:29">
      <c r="B12" s="161" t="s">
        <v>427</v>
      </c>
      <c r="C12" s="161"/>
      <c r="D12" s="161"/>
      <c r="E12" s="161"/>
      <c r="F12" s="197">
        <v>0.5</v>
      </c>
      <c r="G12" s="101">
        <f>$F12</f>
        <v>0.5</v>
      </c>
      <c r="H12" s="101">
        <f t="shared" ref="H12:M12" si="2">$F12</f>
        <v>0.5</v>
      </c>
      <c r="I12" s="101">
        <f t="shared" si="2"/>
        <v>0.5</v>
      </c>
      <c r="J12" s="101">
        <f t="shared" si="2"/>
        <v>0.5</v>
      </c>
      <c r="K12" s="101">
        <f t="shared" si="2"/>
        <v>0.5</v>
      </c>
      <c r="L12" s="101">
        <f t="shared" si="2"/>
        <v>0.5</v>
      </c>
      <c r="M12" s="101">
        <f t="shared" si="2"/>
        <v>0.5</v>
      </c>
      <c r="N12" s="185"/>
      <c r="O12" s="185"/>
      <c r="P12" s="161"/>
      <c r="Q12" s="178"/>
      <c r="R12" s="178"/>
      <c r="S12" s="178"/>
      <c r="T12" s="178"/>
      <c r="U12" s="178"/>
    </row>
    <row r="13" spans="2:29">
      <c r="B13" s="161" t="s">
        <v>432</v>
      </c>
      <c r="F13" s="187">
        <v>6.5000000000000002E-2</v>
      </c>
      <c r="G13" s="176">
        <f t="shared" ref="G13" si="3">$F13*(G7/$F7)</f>
        <v>6.5000000000000002E-2</v>
      </c>
      <c r="H13" s="176">
        <f t="shared" ref="H13:M13" si="4">$F13*(H7/$F7)</f>
        <v>6.5000000000000002E-2</v>
      </c>
      <c r="I13" s="176">
        <f t="shared" si="4"/>
        <v>6.5000000000000002E-2</v>
      </c>
      <c r="J13" s="176">
        <f t="shared" si="4"/>
        <v>6.5000000000000002E-2</v>
      </c>
      <c r="K13" s="176">
        <f t="shared" si="4"/>
        <v>6.5000000000000002E-2</v>
      </c>
      <c r="L13" s="176">
        <f t="shared" si="4"/>
        <v>6.5000000000000002E-2</v>
      </c>
      <c r="M13" s="176">
        <f t="shared" si="4"/>
        <v>6.5000000000000002E-2</v>
      </c>
      <c r="N13" s="76"/>
      <c r="O13" s="76"/>
      <c r="P13" s="161"/>
      <c r="Q13" s="174"/>
      <c r="R13" s="174"/>
      <c r="S13" s="174"/>
      <c r="T13" s="174"/>
      <c r="U13" s="174"/>
    </row>
    <row r="14" spans="2:29" ht="14">
      <c r="B14" s="161" t="s">
        <v>1557</v>
      </c>
      <c r="C14" s="161"/>
      <c r="D14" s="161"/>
      <c r="E14" s="161"/>
      <c r="F14" s="237">
        <v>4.0000000000000003E-5</v>
      </c>
      <c r="G14" s="241">
        <f>$F14*(G7/$F7)^0.7</f>
        <v>4.0000000000000003E-5</v>
      </c>
      <c r="H14" s="241">
        <f t="shared" ref="H14:M14" si="5">$F14*(H7/$F7)^0.7</f>
        <v>4.0000000000000003E-5</v>
      </c>
      <c r="I14" s="241">
        <f t="shared" si="5"/>
        <v>4.0000000000000003E-5</v>
      </c>
      <c r="J14" s="241">
        <f t="shared" si="5"/>
        <v>4.0000000000000003E-5</v>
      </c>
      <c r="K14" s="241">
        <f t="shared" si="5"/>
        <v>4.0000000000000003E-5</v>
      </c>
      <c r="L14" s="241">
        <f t="shared" si="5"/>
        <v>4.0000000000000003E-5</v>
      </c>
      <c r="M14" s="241">
        <f t="shared" si="5"/>
        <v>4.0000000000000003E-5</v>
      </c>
      <c r="N14" s="280"/>
      <c r="O14" s="97"/>
      <c r="Q14" s="21"/>
      <c r="R14" s="1279"/>
      <c r="S14" s="1279"/>
      <c r="T14" s="1279"/>
      <c r="W14" s="1332"/>
      <c r="X14" s="1332"/>
      <c r="Y14" s="1332"/>
    </row>
    <row r="15" spans="2:29">
      <c r="B15" s="161" t="s">
        <v>513</v>
      </c>
      <c r="C15" s="161"/>
      <c r="D15" s="161"/>
      <c r="E15" s="161"/>
      <c r="F15" s="238">
        <v>0.83299999999999996</v>
      </c>
      <c r="G15" s="176">
        <f t="shared" ref="G15:M15" si="6">$F15</f>
        <v>0.83299999999999996</v>
      </c>
      <c r="H15" s="176">
        <f t="shared" si="6"/>
        <v>0.83299999999999996</v>
      </c>
      <c r="I15" s="176">
        <f t="shared" si="6"/>
        <v>0.83299999999999996</v>
      </c>
      <c r="J15" s="176">
        <f t="shared" si="6"/>
        <v>0.83299999999999996</v>
      </c>
      <c r="K15" s="176">
        <f t="shared" si="6"/>
        <v>0.83299999999999996</v>
      </c>
      <c r="L15" s="176">
        <f t="shared" si="6"/>
        <v>0.83299999999999996</v>
      </c>
      <c r="M15" s="176">
        <f t="shared" si="6"/>
        <v>0.83299999999999996</v>
      </c>
      <c r="N15" s="281"/>
      <c r="O15" s="15"/>
      <c r="S15" s="21"/>
      <c r="T15" s="21"/>
      <c r="Y15" s="256"/>
      <c r="AB15" s="21"/>
      <c r="AC15" s="256"/>
    </row>
    <row r="16" spans="2:29">
      <c r="B16" s="161" t="s">
        <v>431</v>
      </c>
      <c r="C16" s="161"/>
      <c r="D16" s="161"/>
      <c r="E16" s="161"/>
      <c r="F16" s="161"/>
      <c r="G16" s="97">
        <f t="shared" ref="G16" ca="1" si="7">(G12+G13*G8+G14*G8^3)/G15</f>
        <v>14.503857411644166</v>
      </c>
      <c r="H16" s="97">
        <f t="shared" ref="H16:M16" ca="1" si="8">(H12+H13*H8+H14*H8^3)/H15</f>
        <v>14.503857411644166</v>
      </c>
      <c r="I16" s="97">
        <f t="shared" ca="1" si="8"/>
        <v>14.503857411644166</v>
      </c>
      <c r="J16" s="97">
        <f t="shared" ca="1" si="8"/>
        <v>14.503857411644166</v>
      </c>
      <c r="K16" s="97">
        <f t="shared" ca="1" si="8"/>
        <v>14.503857411644342</v>
      </c>
      <c r="L16" s="97">
        <f t="shared" ca="1" si="8"/>
        <v>14.503857411644166</v>
      </c>
      <c r="M16" s="97">
        <f t="shared" ca="1" si="8"/>
        <v>14.503857411644166</v>
      </c>
      <c r="N16" s="281"/>
      <c r="O16" s="15"/>
      <c r="P16" s="201"/>
      <c r="Q16" s="25"/>
      <c r="R16" s="5"/>
      <c r="S16" s="25"/>
      <c r="T16" s="178"/>
      <c r="W16" s="163"/>
      <c r="Z16" s="234"/>
      <c r="AA16" s="5"/>
      <c r="AB16" s="25"/>
    </row>
    <row r="17" spans="2:28">
      <c r="B17" s="161" t="s">
        <v>493</v>
      </c>
      <c r="G17" s="3">
        <f>'Battery Design'!G65</f>
        <v>200</v>
      </c>
      <c r="H17" s="3">
        <f>'Battery Design'!H65</f>
        <v>200</v>
      </c>
      <c r="I17" s="3">
        <f>'Battery Design'!I65</f>
        <v>200</v>
      </c>
      <c r="J17" s="3">
        <f>'Battery Design'!J65</f>
        <v>200</v>
      </c>
      <c r="K17" s="3">
        <f>'Battery Design'!K65</f>
        <v>200</v>
      </c>
      <c r="L17" s="3">
        <f>'Battery Design'!L65</f>
        <v>200</v>
      </c>
      <c r="M17" s="3">
        <f>'Battery Design'!M65</f>
        <v>200</v>
      </c>
      <c r="P17" s="161"/>
      <c r="Q17" s="15"/>
      <c r="R17" s="15"/>
      <c r="S17" s="5"/>
      <c r="T17" s="15"/>
      <c r="V17" s="87"/>
      <c r="W17" s="87"/>
      <c r="Y17" s="61"/>
      <c r="Z17" s="15"/>
      <c r="AA17" s="15"/>
      <c r="AB17" s="5"/>
    </row>
    <row r="18" spans="2:28">
      <c r="B18" s="161" t="s">
        <v>618</v>
      </c>
      <c r="G18" s="3"/>
      <c r="H18" s="3"/>
      <c r="I18" s="3"/>
      <c r="J18" s="3"/>
      <c r="K18" s="3"/>
      <c r="L18" s="3"/>
      <c r="M18" s="3"/>
      <c r="P18" s="161"/>
      <c r="Q18" s="15"/>
      <c r="R18" s="15"/>
      <c r="S18" s="5"/>
      <c r="T18" s="15"/>
      <c r="V18" s="87"/>
      <c r="W18" s="87"/>
      <c r="Y18" s="61"/>
      <c r="Z18" s="15"/>
      <c r="AA18" s="15"/>
      <c r="AB18" s="5"/>
    </row>
    <row r="19" spans="2:28" ht="15">
      <c r="B19" s="161" t="s">
        <v>608</v>
      </c>
      <c r="G19" s="248">
        <v>35</v>
      </c>
      <c r="H19" s="248">
        <v>35</v>
      </c>
      <c r="I19" s="248">
        <v>35</v>
      </c>
      <c r="J19" s="248">
        <v>35</v>
      </c>
      <c r="K19" s="248">
        <v>35</v>
      </c>
      <c r="L19" s="248">
        <v>35</v>
      </c>
      <c r="M19" s="248">
        <v>35</v>
      </c>
      <c r="N19" s="88"/>
      <c r="O19" s="88"/>
      <c r="P19" s="88"/>
      <c r="Q19" s="15"/>
      <c r="R19" s="15"/>
      <c r="S19" s="5"/>
      <c r="T19" s="15"/>
      <c r="V19" s="87"/>
      <c r="W19" s="87"/>
      <c r="Y19" s="61"/>
      <c r="Z19" s="15"/>
      <c r="AA19" s="15"/>
      <c r="AB19" s="5"/>
    </row>
    <row r="20" spans="2:28" ht="15">
      <c r="B20" s="161" t="s">
        <v>437</v>
      </c>
      <c r="G20" s="5">
        <f ca="1">IF(Dashboard!$D56=0,30,IF(G67="EG-W",G110,G172))</f>
        <v>16.599982572231184</v>
      </c>
      <c r="H20" s="5">
        <f ca="1">IF(Dashboard!$D56=0,30,IF(H67="EG-W",H110,H172))</f>
        <v>16.599982572231184</v>
      </c>
      <c r="I20" s="5">
        <f ca="1">IF(Dashboard!$D56=0,30,IF(I67="EG-W",I110,I172))</f>
        <v>16.599982572231184</v>
      </c>
      <c r="J20" s="5">
        <f ca="1">IF(Dashboard!$D56=0,30,IF(J67="EG-W",J110,J172))</f>
        <v>16.599982572231184</v>
      </c>
      <c r="K20" s="5">
        <f ca="1">IF(Dashboard!$D56=0,30,IF(K67="EG-W",K110,K172))</f>
        <v>16.599982572231184</v>
      </c>
      <c r="L20" s="5">
        <f ca="1">IF(Dashboard!$D56=0,30,IF(L67="EG-W",L110,L172))</f>
        <v>16.599982572231184</v>
      </c>
      <c r="M20" s="5">
        <f ca="1">IF(Dashboard!$D56=0,30,IF(M67="EG-W",M110,M172))</f>
        <v>16.599982572231184</v>
      </c>
      <c r="N20" s="86"/>
      <c r="O20" s="86"/>
      <c r="P20" s="86"/>
      <c r="Q20" s="15"/>
      <c r="R20" s="15"/>
      <c r="S20" s="5"/>
      <c r="T20" s="15"/>
      <c r="V20" s="87"/>
      <c r="W20" s="87"/>
      <c r="Y20" s="61"/>
      <c r="Z20" s="15"/>
      <c r="AA20" s="15"/>
      <c r="AB20" s="5"/>
    </row>
    <row r="21" spans="2:28">
      <c r="B21" s="161" t="s">
        <v>609</v>
      </c>
      <c r="G21" s="5">
        <f ca="1">MIN(IF(Dashboard!$D56=0,30,IF('Battery Design'!G62="microHEV",30,IF(G67="EG-W",G22+G23*(G19-G20),35))),85)</f>
        <v>85</v>
      </c>
      <c r="H21" s="5">
        <f ca="1">MIN(IF(Dashboard!$D56=0,30,IF('Battery Design'!H62="microHEV",30,IF(H67="EG-W",H22+H23*(H19-H20),35))),85)</f>
        <v>85</v>
      </c>
      <c r="I21" s="5">
        <f ca="1">MIN(IF(Dashboard!$D56=0,30,IF('Battery Design'!I62="microHEV",30,IF(I67="EG-W",I22+I23*(I19-I20),35))),85)</f>
        <v>85</v>
      </c>
      <c r="J21" s="5">
        <f ca="1">MIN(IF(Dashboard!$D56=0,30,IF('Battery Design'!J62="microHEV",30,IF(J67="EG-W",J22+J23*(J19-J20),35))),85)</f>
        <v>85</v>
      </c>
      <c r="K21" s="5">
        <f ca="1">MIN(IF(Dashboard!$D56=0,30,IF('Battery Design'!K62="microHEV",30,IF(K67="EG-W",K22+K23*(K19-K20),35))),85)</f>
        <v>85</v>
      </c>
      <c r="L21" s="5">
        <f ca="1">MIN(IF(Dashboard!$D56=0,30,IF('Battery Design'!L62="microHEV",30,IF(L67="EG-W",L22+L23*(L19-L20),35))),85)</f>
        <v>85</v>
      </c>
      <c r="M21" s="5">
        <f ca="1">MIN(IF(Dashboard!$D56=0,30,IF('Battery Design'!M62="microHEV",30,IF(M67="EG-W",M22+M23*(M19-M20),35))),85)</f>
        <v>85</v>
      </c>
      <c r="N21" s="247"/>
      <c r="O21" s="249"/>
      <c r="P21" s="249"/>
      <c r="Q21" s="278"/>
      <c r="R21" s="15"/>
      <c r="S21" s="5"/>
      <c r="T21" s="249"/>
      <c r="V21" s="87"/>
      <c r="W21" s="87"/>
      <c r="Y21" s="61"/>
      <c r="Z21" s="278"/>
      <c r="AA21" s="15"/>
      <c r="AB21" s="5"/>
    </row>
    <row r="22" spans="2:28">
      <c r="B22" s="161" t="s">
        <v>611</v>
      </c>
      <c r="G22" s="5">
        <f t="shared" ref="G22" ca="1" si="9">G21</f>
        <v>85</v>
      </c>
      <c r="H22" s="5">
        <f t="shared" ref="H22:M22" ca="1" si="10">H21</f>
        <v>85</v>
      </c>
      <c r="I22" s="5">
        <f t="shared" ca="1" si="10"/>
        <v>85</v>
      </c>
      <c r="J22" s="5">
        <f t="shared" ca="1" si="10"/>
        <v>85</v>
      </c>
      <c r="K22" s="5">
        <f t="shared" ca="1" si="10"/>
        <v>85</v>
      </c>
      <c r="L22" s="5">
        <f t="shared" ca="1" si="10"/>
        <v>85</v>
      </c>
      <c r="M22" s="5">
        <f t="shared" ca="1" si="10"/>
        <v>85</v>
      </c>
      <c r="N22" s="249"/>
      <c r="O22" s="249"/>
      <c r="P22" s="249"/>
      <c r="Q22" s="278"/>
      <c r="R22" s="15"/>
      <c r="S22" s="5"/>
      <c r="T22" s="249"/>
      <c r="V22" s="87"/>
      <c r="W22" s="87"/>
      <c r="Y22" s="61"/>
      <c r="Z22" s="278"/>
      <c r="AA22" s="15"/>
      <c r="AB22" s="5"/>
    </row>
    <row r="23" spans="2:28">
      <c r="B23" s="161" t="s">
        <v>610</v>
      </c>
      <c r="G23" s="250">
        <v>0.5</v>
      </c>
      <c r="H23" s="250">
        <v>0.5</v>
      </c>
      <c r="I23" s="250">
        <v>0.5</v>
      </c>
      <c r="J23" s="250">
        <v>0.5</v>
      </c>
      <c r="K23" s="250">
        <v>0.5</v>
      </c>
      <c r="L23" s="250">
        <v>0.5</v>
      </c>
      <c r="M23" s="250">
        <v>0.5</v>
      </c>
      <c r="N23" s="249"/>
      <c r="O23" s="249"/>
      <c r="P23" s="249"/>
      <c r="Q23" s="278"/>
      <c r="R23" s="15"/>
      <c r="S23" s="5"/>
      <c r="T23" s="249"/>
      <c r="Y23" s="61"/>
      <c r="Z23" s="278"/>
      <c r="AA23" s="15"/>
      <c r="AB23" s="5"/>
    </row>
    <row r="24" spans="2:28">
      <c r="B24" s="171" t="s">
        <v>328</v>
      </c>
      <c r="C24" s="161"/>
      <c r="D24" s="161"/>
      <c r="E24" s="161"/>
      <c r="F24" s="161"/>
      <c r="G24" s="178"/>
      <c r="H24" s="178"/>
      <c r="I24" s="178"/>
      <c r="J24" s="178"/>
      <c r="K24" s="178"/>
      <c r="L24" s="178"/>
      <c r="M24" s="178"/>
      <c r="N24" s="97"/>
      <c r="O24" s="280"/>
      <c r="P24" s="97"/>
      <c r="Q24" s="15"/>
      <c r="R24" s="15"/>
      <c r="S24" s="5"/>
      <c r="Y24" s="61"/>
      <c r="Z24" s="15"/>
      <c r="AA24" s="15"/>
      <c r="AB24" s="5"/>
    </row>
    <row r="25" spans="2:28" s="179" customFormat="1" ht="12.75" customHeight="1">
      <c r="B25" s="171" t="s">
        <v>425</v>
      </c>
      <c r="C25"/>
      <c r="D25"/>
      <c r="E25"/>
      <c r="F25"/>
      <c r="G25" s="84">
        <v>60</v>
      </c>
      <c r="H25" s="84">
        <v>60</v>
      </c>
      <c r="I25" s="84">
        <v>60</v>
      </c>
      <c r="J25" s="84">
        <v>60</v>
      </c>
      <c r="K25" s="84">
        <v>60</v>
      </c>
      <c r="L25" s="84">
        <v>60</v>
      </c>
      <c r="M25" s="84">
        <v>60</v>
      </c>
      <c r="N25" s="246"/>
      <c r="O25" s="84"/>
      <c r="P25" s="84"/>
      <c r="Q25" s="279"/>
      <c r="R25" s="15"/>
      <c r="S25" s="5"/>
      <c r="Y25" s="61"/>
      <c r="Z25" s="279"/>
      <c r="AA25" s="15"/>
      <c r="AB25" s="5"/>
    </row>
    <row r="26" spans="2:28">
      <c r="B26" s="171" t="s">
        <v>428</v>
      </c>
      <c r="G26" s="105">
        <f ca="1">1.2*'Battery Design'!G95/'Battery Design'!G112*'Battery Design'!G74/'Battery Design'!G69^2/'Battery Design'!G73^2</f>
        <v>4.9798542960127465E-2</v>
      </c>
      <c r="H26" s="105">
        <f ca="1">1.2*'Battery Design'!H95/'Battery Design'!H112*'Battery Design'!H74/'Battery Design'!H69^2/'Battery Design'!H73^2</f>
        <v>4.9798542960127465E-2</v>
      </c>
      <c r="I26" s="105">
        <f ca="1">1.2*'Battery Design'!I95/'Battery Design'!I112*'Battery Design'!I74/'Battery Design'!I69^2/'Battery Design'!I73^2</f>
        <v>4.9798542960127465E-2</v>
      </c>
      <c r="J26" s="105">
        <f ca="1">1.2*'Battery Design'!J95/'Battery Design'!J112*'Battery Design'!J74/'Battery Design'!J69^2/'Battery Design'!J73^2</f>
        <v>4.9798542960127465E-2</v>
      </c>
      <c r="K26" s="105">
        <f ca="1">1.2*'Battery Design'!K95/'Battery Design'!K112*'Battery Design'!K74/'Battery Design'!K69^2/'Battery Design'!K73^2</f>
        <v>4.9798542960127465E-2</v>
      </c>
      <c r="L26" s="105">
        <f ca="1">1.2*'Battery Design'!L95/'Battery Design'!L112*'Battery Design'!L74/'Battery Design'!L69^2/'Battery Design'!L73^2</f>
        <v>4.9798542960127465E-2</v>
      </c>
      <c r="M26" s="105">
        <f ca="1">1.2*'Battery Design'!M95/'Battery Design'!M112*'Battery Design'!M74/'Battery Design'!M69^2/'Battery Design'!M73^2</f>
        <v>4.9798542960127465E-2</v>
      </c>
      <c r="N26" s="105"/>
      <c r="O26" s="105"/>
      <c r="P26" s="105"/>
      <c r="Q26" s="15"/>
      <c r="R26" s="15"/>
      <c r="S26" s="5"/>
      <c r="Y26" s="61"/>
      <c r="Z26" s="15"/>
      <c r="AA26" s="15"/>
      <c r="AB26" s="5"/>
    </row>
    <row r="27" spans="2:28">
      <c r="B27" s="161" t="s">
        <v>440</v>
      </c>
      <c r="G27" s="178"/>
      <c r="H27" s="178"/>
      <c r="I27" s="178"/>
      <c r="J27" s="178"/>
      <c r="K27" s="178"/>
      <c r="L27" s="178"/>
      <c r="M27" s="178"/>
      <c r="N27" s="97"/>
      <c r="O27" s="97"/>
      <c r="P27" s="97"/>
    </row>
    <row r="28" spans="2:28">
      <c r="B28" s="171" t="s">
        <v>516</v>
      </c>
      <c r="G28" s="105">
        <f ca="1">'Battery Design'!G96/'Battery Design'!G112*'Battery Design'!G74/'Battery Design'!G69^2/'Battery Design'!G73^2</f>
        <v>4.8444139307131269E-2</v>
      </c>
      <c r="H28" s="105">
        <f ca="1">'Battery Design'!H96/'Battery Design'!H112*'Battery Design'!H74/'Battery Design'!H69^2/'Battery Design'!H73^2</f>
        <v>4.8444139307131269E-2</v>
      </c>
      <c r="I28" s="105">
        <f ca="1">'Battery Design'!I96/'Battery Design'!I112*'Battery Design'!I74/'Battery Design'!I69^2/'Battery Design'!I73^2</f>
        <v>4.8444139307131269E-2</v>
      </c>
      <c r="J28" s="105">
        <f ca="1">'Battery Design'!J96/'Battery Design'!J112*'Battery Design'!J74/'Battery Design'!J69^2/'Battery Design'!J73^2</f>
        <v>4.8444139307131269E-2</v>
      </c>
      <c r="K28" s="105">
        <f ca="1">'Battery Design'!K96/'Battery Design'!K112*'Battery Design'!K74/'Battery Design'!K69^2/'Battery Design'!K73^2</f>
        <v>4.8444139307131269E-2</v>
      </c>
      <c r="L28" s="105">
        <f ca="1">'Battery Design'!L96/'Battery Design'!L112*'Battery Design'!L74/'Battery Design'!L69^2/'Battery Design'!L73^2</f>
        <v>4.8444139307131269E-2</v>
      </c>
      <c r="M28" s="105">
        <f ca="1">'Battery Design'!M96/'Battery Design'!M112*'Battery Design'!M74/'Battery Design'!M69^2/'Battery Design'!M73^2</f>
        <v>4.8444139307131269E-2</v>
      </c>
      <c r="N28" s="105"/>
      <c r="O28" s="105"/>
      <c r="P28" s="105"/>
    </row>
    <row r="29" spans="2:28">
      <c r="B29" s="54" t="s">
        <v>475</v>
      </c>
      <c r="G29" s="144"/>
      <c r="H29" s="144"/>
      <c r="I29" s="144"/>
      <c r="J29" s="144"/>
      <c r="K29" s="144"/>
      <c r="L29" s="144"/>
      <c r="M29" s="144"/>
      <c r="N29" s="182"/>
      <c r="O29" s="373"/>
      <c r="P29" s="108"/>
      <c r="Q29" s="108"/>
      <c r="R29" s="108"/>
      <c r="S29" s="108"/>
      <c r="T29" s="108"/>
      <c r="U29" s="108"/>
      <c r="V29" s="108"/>
    </row>
    <row r="30" spans="2:28">
      <c r="B30" s="171" t="s">
        <v>421</v>
      </c>
      <c r="G30" s="86">
        <f t="shared" ref="G30" ca="1" si="11">(G13*G21+G14*G21^3+G12)/G15</f>
        <v>36.722689075630257</v>
      </c>
      <c r="H30" s="86">
        <f t="shared" ref="H30:M30" ca="1" si="12">(H13*H21+H14*H21^3+H12)/H15</f>
        <v>36.722689075630257</v>
      </c>
      <c r="I30" s="86">
        <f t="shared" ca="1" si="12"/>
        <v>36.722689075630257</v>
      </c>
      <c r="J30" s="86">
        <f t="shared" ca="1" si="12"/>
        <v>36.722689075630257</v>
      </c>
      <c r="K30" s="86">
        <f t="shared" ca="1" si="12"/>
        <v>36.722689075630257</v>
      </c>
      <c r="L30" s="86">
        <f t="shared" ca="1" si="12"/>
        <v>36.722689075630257</v>
      </c>
      <c r="M30" s="86">
        <f t="shared" ca="1" si="12"/>
        <v>36.722689075630257</v>
      </c>
      <c r="N30" s="86"/>
      <c r="O30" s="86"/>
      <c r="P30" s="86"/>
      <c r="Q30" s="86"/>
      <c r="R30" s="86"/>
      <c r="S30" s="86"/>
      <c r="T30" s="86"/>
      <c r="U30" s="86"/>
      <c r="V30" s="86"/>
    </row>
    <row r="31" spans="2:28">
      <c r="B31" s="161" t="s">
        <v>429</v>
      </c>
      <c r="G31" s="105">
        <f ca="1">IF('Battery Design'!G62="HEV-HP",G26,G28)</f>
        <v>4.8444139307131269E-2</v>
      </c>
      <c r="H31" s="105">
        <f ca="1">IF('Battery Design'!H62="HEV-HP",H26,H28)</f>
        <v>4.8444139307131269E-2</v>
      </c>
      <c r="I31" s="105">
        <f ca="1">IF('Battery Design'!I62="HEV-HP",I26,I28)</f>
        <v>4.8444139307131269E-2</v>
      </c>
      <c r="J31" s="105">
        <f ca="1">IF('Battery Design'!J62="HEV-HP",J26,J28)</f>
        <v>4.8444139307131269E-2</v>
      </c>
      <c r="K31" s="105">
        <f ca="1">IF('Battery Design'!K62="HEV-HP",K26,K28)</f>
        <v>4.8444139307131269E-2</v>
      </c>
      <c r="L31" s="105">
        <f ca="1">IF('Battery Design'!L62="HEV-HP",L26,L28)</f>
        <v>4.8444139307131269E-2</v>
      </c>
      <c r="M31" s="105">
        <f ca="1">IF('Battery Design'!M62="HEV-HP",M26,M28)</f>
        <v>4.8444139307131269E-2</v>
      </c>
      <c r="N31" s="105"/>
      <c r="O31" s="105"/>
      <c r="P31" s="266"/>
      <c r="Q31" s="266"/>
      <c r="R31" s="266"/>
      <c r="S31" s="266"/>
      <c r="T31" s="266"/>
      <c r="U31" s="266"/>
      <c r="V31" s="266"/>
    </row>
    <row r="32" spans="2:28">
      <c r="B32" t="s">
        <v>435</v>
      </c>
      <c r="G32" s="3">
        <f ca="1">('Battery Design'!G150+('Battery Design'!G150^2-4*G31*G30*1000)^0.5)/2</f>
        <v>322.68691917900321</v>
      </c>
      <c r="H32" s="3">
        <f ca="1">('Battery Design'!H150+('Battery Design'!H150^2-4*H31*H30*1000)^0.5)/2</f>
        <v>322.68691917900321</v>
      </c>
      <c r="I32" s="3">
        <f ca="1">('Battery Design'!I150+('Battery Design'!I150^2-4*I31*I30*1000)^0.5)/2</f>
        <v>322.68691917900321</v>
      </c>
      <c r="J32" s="3">
        <f ca="1">('Battery Design'!J150+('Battery Design'!J150^2-4*J31*J30*1000)^0.5)/2</f>
        <v>322.68691917900321</v>
      </c>
      <c r="K32" s="3">
        <f ca="1">('Battery Design'!K150+('Battery Design'!K150^2-4*K31*K30*1000)^0.5)/2</f>
        <v>322.68691917900321</v>
      </c>
      <c r="L32" s="3">
        <f ca="1">('Battery Design'!L150+('Battery Design'!L150^2-4*L31*L30*1000)^0.5)/2</f>
        <v>322.68691917900321</v>
      </c>
      <c r="M32" s="3">
        <f ca="1">('Battery Design'!M150+('Battery Design'!M150^2-4*M31*M30*1000)^0.5)/2</f>
        <v>322.68691917900321</v>
      </c>
      <c r="N32" s="88"/>
      <c r="O32" s="88"/>
      <c r="P32" s="88"/>
    </row>
    <row r="33" spans="2:21">
      <c r="B33" t="s">
        <v>436</v>
      </c>
      <c r="G33" s="5">
        <f t="shared" ref="G33" ca="1" si="13">G30*1000/G32</f>
        <v>113.80284384958036</v>
      </c>
      <c r="H33" s="5">
        <f t="shared" ref="H33:M33" ca="1" si="14">H30*1000/H32</f>
        <v>113.80284384958036</v>
      </c>
      <c r="I33" s="5">
        <f t="shared" ca="1" si="14"/>
        <v>113.80284384958036</v>
      </c>
      <c r="J33" s="5">
        <f t="shared" ca="1" si="14"/>
        <v>113.80284384958036</v>
      </c>
      <c r="K33" s="5">
        <f t="shared" ca="1" si="14"/>
        <v>113.80284384958036</v>
      </c>
      <c r="L33" s="5">
        <f t="shared" ca="1" si="14"/>
        <v>113.80284384958036</v>
      </c>
      <c r="M33" s="5">
        <f t="shared" ca="1" si="14"/>
        <v>113.80284384958036</v>
      </c>
      <c r="N33" s="86"/>
      <c r="O33" s="86"/>
      <c r="P33" s="86"/>
    </row>
    <row r="34" spans="2:21">
      <c r="B34" t="s">
        <v>422</v>
      </c>
      <c r="G34" s="3">
        <f ca="1">G33^2*G31*IF('Battery Design'!G62="HEV-HP",G25/100,1)</f>
        <v>627.40427580201253</v>
      </c>
      <c r="H34" s="3">
        <f ca="1">H33^2*H31*IF('Battery Design'!H62="HEV-HP",H25/100,1)</f>
        <v>627.40427580201253</v>
      </c>
      <c r="I34" s="3">
        <f ca="1">I33^2*I31*IF('Battery Design'!I62="HEV-HP",I25/100,1)</f>
        <v>627.40427580201253</v>
      </c>
      <c r="J34" s="3">
        <f ca="1">J33^2*J31*IF('Battery Design'!J62="HEV-HP",J25/100,1)</f>
        <v>627.40427580201253</v>
      </c>
      <c r="K34" s="3">
        <f ca="1">K33^2*K31*IF('Battery Design'!K62="HEV-HP",K25/100,1)</f>
        <v>627.40427580201253</v>
      </c>
      <c r="L34" s="3">
        <f ca="1">L33^2*L31*IF('Battery Design'!L62="HEV-HP",L25/100,1)</f>
        <v>627.40427580201253</v>
      </c>
      <c r="M34" s="3">
        <f ca="1">M33^2*M31*IF('Battery Design'!M62="HEV-HP",M25/100,1)</f>
        <v>627.40427580201253</v>
      </c>
      <c r="N34" s="88"/>
      <c r="O34" s="88"/>
      <c r="P34" s="88"/>
    </row>
    <row r="35" spans="2:21">
      <c r="B35" t="s">
        <v>423</v>
      </c>
      <c r="G35" s="5">
        <f t="shared" ref="G35" ca="1" si="15">G30/(G30+G34/1000)*100</f>
        <v>98.32020694058599</v>
      </c>
      <c r="H35" s="5">
        <f t="shared" ref="H35:M35" ca="1" si="16">H30/(H30+H34/1000)*100</f>
        <v>98.32020694058599</v>
      </c>
      <c r="I35" s="5">
        <f t="shared" ca="1" si="16"/>
        <v>98.32020694058599</v>
      </c>
      <c r="J35" s="5">
        <f t="shared" ca="1" si="16"/>
        <v>98.32020694058599</v>
      </c>
      <c r="K35" s="5">
        <f t="shared" ca="1" si="16"/>
        <v>98.32020694058599</v>
      </c>
      <c r="L35" s="5">
        <f t="shared" ca="1" si="16"/>
        <v>98.32020694058599</v>
      </c>
      <c r="M35" s="5">
        <f t="shared" ca="1" si="16"/>
        <v>98.32020694058599</v>
      </c>
      <c r="N35" s="86"/>
      <c r="O35" s="86"/>
      <c r="P35" s="86"/>
    </row>
    <row r="36" spans="2:21">
      <c r="B36" s="121" t="s">
        <v>378</v>
      </c>
      <c r="G36" s="146">
        <v>100</v>
      </c>
      <c r="H36" s="146">
        <v>100</v>
      </c>
      <c r="I36" s="146">
        <v>100</v>
      </c>
      <c r="J36" s="146">
        <v>100</v>
      </c>
      <c r="K36" s="146">
        <v>100</v>
      </c>
      <c r="L36" s="146">
        <v>100</v>
      </c>
      <c r="M36" s="146">
        <v>100</v>
      </c>
      <c r="N36" s="101"/>
      <c r="O36" s="101"/>
      <c r="P36" s="101"/>
    </row>
    <row r="37" spans="2:21">
      <c r="B37" s="256" t="s">
        <v>689</v>
      </c>
      <c r="G37" s="414"/>
      <c r="H37" s="414"/>
      <c r="I37" s="414"/>
      <c r="J37" s="414"/>
      <c r="K37" s="414"/>
      <c r="L37" s="414"/>
      <c r="M37" s="414"/>
      <c r="N37" s="101"/>
      <c r="O37" s="101"/>
      <c r="P37" s="101"/>
    </row>
    <row r="38" spans="2:21">
      <c r="B38" s="161" t="s">
        <v>473</v>
      </c>
      <c r="C38" s="6"/>
      <c r="D38" s="6"/>
      <c r="E38" s="6"/>
      <c r="F38" s="6"/>
      <c r="G38" s="138">
        <f ca="1">IF(G37=0,IF('Battery Design'!G62="microHEV",G36,G34),G37)</f>
        <v>627.40427580201253</v>
      </c>
      <c r="H38" s="138">
        <f ca="1">IF(H37=0,IF('Battery Design'!H62="microHEV",H36,H34),H37)</f>
        <v>627.40427580201253</v>
      </c>
      <c r="I38" s="138">
        <f ca="1">IF(I37=0,IF('Battery Design'!I62="microHEV",I36,I34),I37)</f>
        <v>627.40427580201253</v>
      </c>
      <c r="J38" s="138">
        <f ca="1">IF(J37=0,IF('Battery Design'!J62="microHEV",J36,J34),J37)</f>
        <v>627.40427580201253</v>
      </c>
      <c r="K38" s="138">
        <f ca="1">IF(K37=0,IF('Battery Design'!K62="microHEV",K36,K34),K37)</f>
        <v>627.40427580201253</v>
      </c>
      <c r="L38" s="138">
        <f ca="1">IF(L37=0,IF('Battery Design'!L62="microHEV",L36,L34),L37)</f>
        <v>627.40427580201253</v>
      </c>
      <c r="M38" s="138">
        <f ca="1">IF(M37=0,IF('Battery Design'!M62="microHEV",M36,M34),M37)</f>
        <v>627.40427580201253</v>
      </c>
      <c r="N38" s="183"/>
      <c r="O38" s="183"/>
      <c r="P38" s="183"/>
    </row>
    <row r="39" spans="2:21">
      <c r="B39" s="161" t="s">
        <v>474</v>
      </c>
      <c r="C39" s="6"/>
      <c r="D39" s="6"/>
      <c r="E39" s="6"/>
      <c r="F39" s="6"/>
      <c r="G39" s="138">
        <f ca="1">IF(G67="EG-W",G102,G164+G165)*'Battery Design'!G56</f>
        <v>251.32099900724103</v>
      </c>
      <c r="H39" s="138">
        <f ca="1">IF(H67="EG-W",H102,H164+H165)*'Battery Design'!H56</f>
        <v>251.32099900724103</v>
      </c>
      <c r="I39" s="138">
        <f ca="1">IF(I67="EG-W",I102,I164+I165)*'Battery Design'!I56</f>
        <v>251.32099900724103</v>
      </c>
      <c r="J39" s="138">
        <f ca="1">IF(J67="EG-W",J102,J164+J165)*'Battery Design'!J56</f>
        <v>251.32099900724103</v>
      </c>
      <c r="K39" s="138">
        <f ca="1">IF(K67="EG-W",K102,K164+K165)*'Battery Design'!K56</f>
        <v>251.32099900724103</v>
      </c>
      <c r="L39" s="138">
        <f ca="1">IF(L67="EG-W",L102,L164+L165)*'Battery Design'!L56</f>
        <v>251.32099900724103</v>
      </c>
      <c r="M39" s="138">
        <f ca="1">IF(M67="EG-W",M102,M164+M165)*'Battery Design'!M56</f>
        <v>251.32099900724103</v>
      </c>
      <c r="N39" s="183"/>
      <c r="O39" s="183"/>
      <c r="P39" s="183"/>
    </row>
    <row r="40" spans="2:21" ht="14">
      <c r="B40" s="164" t="s">
        <v>434</v>
      </c>
      <c r="C40" s="189"/>
      <c r="D40" s="189"/>
      <c r="E40" s="189"/>
      <c r="F40" s="189"/>
      <c r="G40" s="328" t="str">
        <f ca="1">IF(G20&lt;35.01,"Excellent",IF(G20&lt;40.01,"Good",IF(G20&lt;45.01,"Fair","Poor")))</f>
        <v>Excellent</v>
      </c>
      <c r="H40" s="328" t="str">
        <f t="shared" ref="H40:M40" ca="1" si="17">IF(H20&lt;35.01,"Excellent",IF(H20&lt;40.01,"Good",IF(H20&lt;45.01,"Fair","Poor")))</f>
        <v>Excellent</v>
      </c>
      <c r="I40" s="328" t="str">
        <f t="shared" ca="1" si="17"/>
        <v>Excellent</v>
      </c>
      <c r="J40" s="328" t="str">
        <f t="shared" ca="1" si="17"/>
        <v>Excellent</v>
      </c>
      <c r="K40" s="328" t="str">
        <f t="shared" ca="1" si="17"/>
        <v>Excellent</v>
      </c>
      <c r="L40" s="328" t="str">
        <f t="shared" ca="1" si="17"/>
        <v>Excellent</v>
      </c>
      <c r="M40" s="328" t="str">
        <f t="shared" ca="1" si="17"/>
        <v>Excellent</v>
      </c>
      <c r="P40" s="161"/>
      <c r="Q40" s="15"/>
      <c r="R40" s="15"/>
      <c r="S40" s="15"/>
      <c r="T40" s="15"/>
      <c r="U40" s="15"/>
    </row>
    <row r="41" spans="2:21" ht="14">
      <c r="B41" s="164" t="s">
        <v>379</v>
      </c>
      <c r="C41" s="6"/>
      <c r="D41" s="6"/>
      <c r="E41" s="6"/>
      <c r="F41" s="6"/>
      <c r="G41" s="138"/>
      <c r="H41" s="138"/>
      <c r="I41" s="138"/>
      <c r="J41" s="138"/>
      <c r="K41" s="138"/>
      <c r="L41" s="138"/>
      <c r="M41" s="138"/>
    </row>
    <row r="42" spans="2:21">
      <c r="B42" s="748" t="s">
        <v>292</v>
      </c>
      <c r="G42" s="5"/>
      <c r="H42" s="5"/>
      <c r="I42" s="5"/>
      <c r="J42" s="5"/>
      <c r="K42" s="5"/>
      <c r="L42" s="5"/>
      <c r="M42" s="5"/>
    </row>
    <row r="43" spans="2:21">
      <c r="B43" s="256" t="s">
        <v>1532</v>
      </c>
      <c r="G43" s="5">
        <f>'Battery Design'!$E21</f>
        <v>15</v>
      </c>
      <c r="H43" s="5">
        <f>'Battery Design'!$E21</f>
        <v>15</v>
      </c>
      <c r="I43" s="5">
        <f>'Battery Design'!$E21</f>
        <v>15</v>
      </c>
      <c r="J43" s="5">
        <f>'Battery Design'!$E21</f>
        <v>15</v>
      </c>
      <c r="K43" s="5">
        <f>'Battery Design'!$E21</f>
        <v>15</v>
      </c>
      <c r="L43" s="5">
        <f>'Battery Design'!$E21</f>
        <v>15</v>
      </c>
      <c r="M43" s="5">
        <f>'Battery Design'!$E21</f>
        <v>15</v>
      </c>
    </row>
    <row r="44" spans="2:21">
      <c r="B44" s="256" t="s">
        <v>1400</v>
      </c>
      <c r="G44" s="5">
        <f>'Battery Design'!$E22</f>
        <v>10</v>
      </c>
      <c r="H44" s="5">
        <f>'Battery Design'!$E22</f>
        <v>10</v>
      </c>
      <c r="I44" s="5">
        <f>'Battery Design'!$E22</f>
        <v>10</v>
      </c>
      <c r="J44" s="5">
        <f>'Battery Design'!$E22</f>
        <v>10</v>
      </c>
      <c r="K44" s="5">
        <f>'Battery Design'!$E22</f>
        <v>10</v>
      </c>
      <c r="L44" s="5">
        <f>'Battery Design'!$E22</f>
        <v>10</v>
      </c>
      <c r="M44" s="5">
        <f>'Battery Design'!$E22</f>
        <v>10</v>
      </c>
    </row>
    <row r="45" spans="2:21">
      <c r="B45" s="96" t="s">
        <v>1401</v>
      </c>
      <c r="G45" s="5">
        <f ca="1">'Battery Design'!G104</f>
        <v>120</v>
      </c>
      <c r="H45" s="5">
        <f ca="1">'Battery Design'!H104</f>
        <v>120</v>
      </c>
      <c r="I45" s="5">
        <f ca="1">'Battery Design'!I104</f>
        <v>120</v>
      </c>
      <c r="J45" s="5">
        <f ca="1">'Battery Design'!J104</f>
        <v>120</v>
      </c>
      <c r="K45" s="5">
        <f ca="1">'Battery Design'!K104</f>
        <v>120</v>
      </c>
      <c r="L45" s="5">
        <f ca="1">'Battery Design'!L104</f>
        <v>120</v>
      </c>
      <c r="M45" s="5">
        <f ca="1">'Battery Design'!M104</f>
        <v>120</v>
      </c>
    </row>
    <row r="46" spans="2:21">
      <c r="B46" s="96" t="s">
        <v>1402</v>
      </c>
      <c r="G46" s="5">
        <f ca="1">'Battery Design'!G105</f>
        <v>38.640721036937791</v>
      </c>
      <c r="H46" s="5">
        <f ca="1">'Battery Design'!H105</f>
        <v>38.640721036937791</v>
      </c>
      <c r="I46" s="5">
        <f ca="1">'Battery Design'!I105</f>
        <v>38.640721036937791</v>
      </c>
      <c r="J46" s="5">
        <f ca="1">'Battery Design'!J105</f>
        <v>38.640721036937791</v>
      </c>
      <c r="K46" s="5">
        <f ca="1">'Battery Design'!K105</f>
        <v>38.640721036937791</v>
      </c>
      <c r="L46" s="5">
        <f ca="1">'Battery Design'!L105</f>
        <v>38.640721036937791</v>
      </c>
      <c r="M46" s="5">
        <f ca="1">'Battery Design'!M105</f>
        <v>38.640721036937791</v>
      </c>
    </row>
    <row r="47" spans="2:21">
      <c r="B47" s="96" t="s">
        <v>1403</v>
      </c>
      <c r="G47" s="5">
        <f>'Battery Design'!$E23</f>
        <v>20</v>
      </c>
      <c r="H47" s="5">
        <f>'Battery Design'!$E23</f>
        <v>20</v>
      </c>
      <c r="I47" s="5">
        <f>'Battery Design'!$E23</f>
        <v>20</v>
      </c>
      <c r="J47" s="5">
        <f>'Battery Design'!$E23</f>
        <v>20</v>
      </c>
      <c r="K47" s="5">
        <f>'Battery Design'!$E23</f>
        <v>20</v>
      </c>
      <c r="L47" s="5">
        <f>'Battery Design'!$E23</f>
        <v>20</v>
      </c>
      <c r="M47" s="5">
        <f>'Battery Design'!$E23</f>
        <v>20</v>
      </c>
    </row>
    <row r="48" spans="2:21">
      <c r="B48" s="96" t="s">
        <v>1404</v>
      </c>
      <c r="G48" s="5">
        <f t="shared" ref="G48" ca="1" si="18">G43+G44+2*(G45+G46+G47)</f>
        <v>382.28144207387561</v>
      </c>
      <c r="H48" s="5">
        <f t="shared" ref="H48:M48" ca="1" si="19">H43+H44+2*(H45+H46+H47)</f>
        <v>382.28144207387561</v>
      </c>
      <c r="I48" s="5">
        <f t="shared" ca="1" si="19"/>
        <v>382.28144207387561</v>
      </c>
      <c r="J48" s="5">
        <f t="shared" ca="1" si="19"/>
        <v>382.28144207387561</v>
      </c>
      <c r="K48" s="5">
        <f t="shared" ca="1" si="19"/>
        <v>382.28144207387561</v>
      </c>
      <c r="L48" s="5">
        <f t="shared" ca="1" si="19"/>
        <v>382.28144207387561</v>
      </c>
      <c r="M48" s="5">
        <f t="shared" ca="1" si="19"/>
        <v>382.28144207387561</v>
      </c>
    </row>
    <row r="49" spans="2:22">
      <c r="B49" s="747" t="s">
        <v>382</v>
      </c>
      <c r="C49" s="6"/>
      <c r="D49" s="73"/>
      <c r="E49" s="73"/>
      <c r="F49" s="73"/>
      <c r="G49" s="73"/>
      <c r="H49" s="73"/>
      <c r="I49" s="73"/>
      <c r="J49" s="73"/>
      <c r="K49" s="73"/>
      <c r="L49" s="73"/>
      <c r="M49" s="73"/>
    </row>
    <row r="50" spans="2:22">
      <c r="B50" s="17" t="s">
        <v>1405</v>
      </c>
      <c r="C50" s="6"/>
      <c r="D50" s="6"/>
      <c r="E50" s="6"/>
      <c r="F50" s="73"/>
      <c r="G50" s="170">
        <f>IF(Chem!$C$23 = "Aluminum", _therm_cond_Al, _therm_cond_Cu)</f>
        <v>2</v>
      </c>
      <c r="H50" s="170">
        <f>IF(Chem!$C$23 = "Aluminum", _therm_cond_Al, _therm_cond_Cu)</f>
        <v>2</v>
      </c>
      <c r="I50" s="170">
        <f>IF(Chem!$C$23 = "Aluminum", _therm_cond_Al, _therm_cond_Cu)</f>
        <v>2</v>
      </c>
      <c r="J50" s="170">
        <f>IF(Chem!$C$23 = "Aluminum", _therm_cond_Al, _therm_cond_Cu)</f>
        <v>2</v>
      </c>
      <c r="K50" s="170">
        <f>IF(Chem!$C$23 = "Aluminum", _therm_cond_Al, _therm_cond_Cu)</f>
        <v>2</v>
      </c>
      <c r="L50" s="170">
        <f>IF(Chem!$C$23 = "Aluminum", _therm_cond_Al, _therm_cond_Cu)</f>
        <v>2</v>
      </c>
      <c r="M50" s="170">
        <f>IF(Chem!$C$23 = "Aluminum", _therm_cond_Al, _therm_cond_Cu)</f>
        <v>2</v>
      </c>
      <c r="N50" s="168"/>
    </row>
    <row r="51" spans="2:22">
      <c r="B51" s="17" t="s">
        <v>1406</v>
      </c>
      <c r="C51" s="6"/>
      <c r="D51" s="6"/>
      <c r="E51" s="6"/>
      <c r="F51" s="73"/>
      <c r="G51" s="170">
        <f>IF(Chem!$C$44 = "Aluminum", _therm_cond_Al, _therm_cond_Cu)</f>
        <v>3.8</v>
      </c>
      <c r="H51" s="170">
        <f>IF(Chem!$C$44 = "Aluminum", _therm_cond_Al, _therm_cond_Cu)</f>
        <v>3.8</v>
      </c>
      <c r="I51" s="170">
        <f>IF(Chem!$C$44 = "Aluminum", _therm_cond_Al, _therm_cond_Cu)</f>
        <v>3.8</v>
      </c>
      <c r="J51" s="170">
        <f>IF(Chem!$C$44 = "Aluminum", _therm_cond_Al, _therm_cond_Cu)</f>
        <v>3.8</v>
      </c>
      <c r="K51" s="170">
        <f>IF(Chem!$C$44 = "Aluminum", _therm_cond_Al, _therm_cond_Cu)</f>
        <v>3.8</v>
      </c>
      <c r="L51" s="170">
        <f>IF(Chem!$C$44 = "Aluminum", _therm_cond_Al, _therm_cond_Cu)</f>
        <v>3.8</v>
      </c>
      <c r="M51" s="170">
        <f>IF(Chem!$C$44 = "Aluminum", _therm_cond_Al, _therm_cond_Cu)</f>
        <v>3.8</v>
      </c>
      <c r="N51" s="168"/>
    </row>
    <row r="52" spans="2:22">
      <c r="B52" s="96" t="s">
        <v>1407</v>
      </c>
      <c r="C52" s="6"/>
      <c r="D52" s="6"/>
      <c r="E52" s="6"/>
      <c r="F52" s="73"/>
      <c r="G52" s="147">
        <v>1.2999999999999999E-2</v>
      </c>
      <c r="H52" s="147">
        <v>1.2999999999999999E-2</v>
      </c>
      <c r="I52" s="147">
        <v>1.2999999999999999E-2</v>
      </c>
      <c r="J52" s="147">
        <v>1.2999999999999999E-2</v>
      </c>
      <c r="K52" s="147">
        <v>1.2999999999999999E-2</v>
      </c>
      <c r="L52" s="147">
        <v>1.2999999999999999E-2</v>
      </c>
      <c r="M52" s="147">
        <v>1.2999999999999999E-2</v>
      </c>
    </row>
    <row r="53" spans="2:22">
      <c r="B53" s="96" t="s">
        <v>1408</v>
      </c>
      <c r="C53" s="6"/>
      <c r="D53" s="6"/>
      <c r="E53" s="6"/>
      <c r="F53" s="73"/>
      <c r="G53" s="147">
        <v>1.2999999999999999E-2</v>
      </c>
      <c r="H53" s="147">
        <v>1.2999999999999999E-2</v>
      </c>
      <c r="I53" s="147">
        <v>1.2999999999999999E-2</v>
      </c>
      <c r="J53" s="147">
        <v>1.2999999999999999E-2</v>
      </c>
      <c r="K53" s="147">
        <v>1.2999999999999999E-2</v>
      </c>
      <c r="L53" s="147">
        <v>1.2999999999999999E-2</v>
      </c>
      <c r="M53" s="147">
        <v>1.2999999999999999E-2</v>
      </c>
    </row>
    <row r="54" spans="2:22">
      <c r="B54" s="96" t="s">
        <v>1409</v>
      </c>
      <c r="C54" s="6"/>
      <c r="D54" s="6"/>
      <c r="E54" s="6"/>
      <c r="F54" s="73"/>
      <c r="G54" s="148">
        <v>2E-3</v>
      </c>
      <c r="H54" s="148">
        <v>2E-3</v>
      </c>
      <c r="I54" s="148">
        <v>2E-3</v>
      </c>
      <c r="J54" s="148">
        <v>2E-3</v>
      </c>
      <c r="K54" s="148">
        <v>2E-3</v>
      </c>
      <c r="L54" s="148">
        <v>2E-3</v>
      </c>
      <c r="M54" s="148">
        <v>2E-3</v>
      </c>
    </row>
    <row r="55" spans="2:22">
      <c r="B55" s="256" t="s">
        <v>1412</v>
      </c>
      <c r="F55" s="61"/>
      <c r="G55" s="67">
        <f t="shared" ref="G55:M55" si="20">0.01</f>
        <v>0.01</v>
      </c>
      <c r="H55" s="67">
        <f t="shared" si="20"/>
        <v>0.01</v>
      </c>
      <c r="I55" s="67">
        <f t="shared" si="20"/>
        <v>0.01</v>
      </c>
      <c r="J55" s="67">
        <f t="shared" si="20"/>
        <v>0.01</v>
      </c>
      <c r="K55" s="67">
        <f t="shared" si="20"/>
        <v>0.01</v>
      </c>
      <c r="L55" s="67">
        <f t="shared" si="20"/>
        <v>0.01</v>
      </c>
      <c r="M55" s="67">
        <f t="shared" si="20"/>
        <v>0.01</v>
      </c>
    </row>
    <row r="56" spans="2:22">
      <c r="B56" s="17" t="s">
        <v>1411</v>
      </c>
      <c r="C56" s="110"/>
      <c r="D56" s="110"/>
      <c r="E56" s="110"/>
      <c r="F56" s="73"/>
      <c r="G56" s="749">
        <f ca="1">G48/(G43/G50+G44/G51+2*(G45/G52+G46/G53+G47/G54))</f>
        <v>8.6067640208421815E-3</v>
      </c>
      <c r="H56" s="749">
        <f t="shared" ref="H56:M56" ca="1" si="21">H48/(H43/H50+H44/H51+2*(H45/H52+H46/H53+H47/H54))</f>
        <v>8.6067640208421815E-3</v>
      </c>
      <c r="I56" s="749">
        <f t="shared" ca="1" si="21"/>
        <v>8.6067640208421815E-3</v>
      </c>
      <c r="J56" s="749">
        <f t="shared" ca="1" si="21"/>
        <v>8.6067640208421815E-3</v>
      </c>
      <c r="K56" s="749">
        <f t="shared" ca="1" si="21"/>
        <v>8.6067640208421815E-3</v>
      </c>
      <c r="L56" s="749">
        <f t="shared" ca="1" si="21"/>
        <v>8.6067640208421815E-3</v>
      </c>
      <c r="M56" s="749">
        <f t="shared" ca="1" si="21"/>
        <v>8.6067640208421815E-3</v>
      </c>
      <c r="N56" s="168"/>
    </row>
    <row r="57" spans="2:22">
      <c r="B57" s="96" t="s">
        <v>1410</v>
      </c>
      <c r="C57" s="110"/>
      <c r="D57" s="110"/>
      <c r="E57" s="110"/>
      <c r="F57" s="73"/>
      <c r="G57" s="749">
        <f ca="1">(G50*G43+G51*G44+2*(G52*G45+G53*G46+G54*G47))/G48</f>
        <v>0.18887827343972108</v>
      </c>
      <c r="H57" s="749">
        <f t="shared" ref="H57:M57" ca="1" si="22">(H50*H43+H51*H44+2*(H52*H45+H53*H46+H54*H47))/H48</f>
        <v>0.18887827343972108</v>
      </c>
      <c r="I57" s="749">
        <f t="shared" ca="1" si="22"/>
        <v>0.18887827343972108</v>
      </c>
      <c r="J57" s="749">
        <f t="shared" ca="1" si="22"/>
        <v>0.18887827343972108</v>
      </c>
      <c r="K57" s="749">
        <f t="shared" ca="1" si="22"/>
        <v>0.18887827343972108</v>
      </c>
      <c r="L57" s="749">
        <f t="shared" ca="1" si="22"/>
        <v>0.18887827343972108</v>
      </c>
      <c r="M57" s="749">
        <f t="shared" ca="1" si="22"/>
        <v>0.18887827343972108</v>
      </c>
    </row>
    <row r="58" spans="2:22" ht="16">
      <c r="B58" s="96" t="s">
        <v>1413</v>
      </c>
      <c r="G58" s="2">
        <v>2.5999999999999998E-4</v>
      </c>
      <c r="H58" s="163">
        <v>2.5999999999999998E-4</v>
      </c>
      <c r="I58" s="163">
        <v>2.5999999999999998E-4</v>
      </c>
      <c r="J58" s="163">
        <v>2.5999999999999998E-4</v>
      </c>
      <c r="K58" s="163">
        <v>2.5999999999999998E-4</v>
      </c>
      <c r="L58" s="163">
        <v>2.5999999999999998E-4</v>
      </c>
      <c r="M58" s="163">
        <v>2.5999999999999998E-4</v>
      </c>
      <c r="N58" s="14"/>
      <c r="O58" s="14"/>
      <c r="P58" s="14"/>
      <c r="Q58" s="14"/>
      <c r="R58" s="14"/>
      <c r="S58" s="14"/>
      <c r="T58" s="14"/>
      <c r="U58" s="14"/>
    </row>
    <row r="59" spans="2:22">
      <c r="B59" s="256" t="s">
        <v>1414</v>
      </c>
      <c r="C59" s="110"/>
      <c r="D59" s="110"/>
      <c r="E59" s="110"/>
      <c r="F59" s="73"/>
      <c r="G59" s="148">
        <v>4.3E-3</v>
      </c>
      <c r="H59" s="148">
        <v>4.3E-3</v>
      </c>
      <c r="I59" s="148">
        <v>4.3E-3</v>
      </c>
      <c r="J59" s="148">
        <v>4.3E-3</v>
      </c>
      <c r="K59" s="148">
        <v>4.3E-3</v>
      </c>
      <c r="L59" s="148">
        <v>4.3E-3</v>
      </c>
      <c r="M59" s="148">
        <v>4.3E-3</v>
      </c>
    </row>
    <row r="60" spans="2:22" ht="16">
      <c r="B60" s="13" t="s">
        <v>329</v>
      </c>
      <c r="G60" s="5"/>
      <c r="H60" s="5"/>
      <c r="I60" s="5"/>
      <c r="J60" s="5"/>
      <c r="K60" s="5"/>
      <c r="L60" s="5"/>
      <c r="M60" s="5"/>
    </row>
    <row r="61" spans="2:22" s="14" customFormat="1" ht="14.25" customHeight="1">
      <c r="B61" s="161" t="s">
        <v>1533</v>
      </c>
      <c r="C61" s="161"/>
      <c r="D61" s="161"/>
      <c r="E61" s="161"/>
      <c r="F61" s="161"/>
      <c r="G61" s="412">
        <v>25</v>
      </c>
      <c r="H61" s="412">
        <v>25</v>
      </c>
      <c r="I61" s="412">
        <v>25</v>
      </c>
      <c r="J61" s="412">
        <v>25</v>
      </c>
      <c r="K61" s="412">
        <v>25</v>
      </c>
      <c r="L61" s="412">
        <v>25</v>
      </c>
      <c r="M61" s="412">
        <v>25</v>
      </c>
      <c r="U61"/>
      <c r="V61" s="170"/>
    </row>
    <row r="62" spans="2:22">
      <c r="B62" s="853" t="s">
        <v>1534</v>
      </c>
      <c r="G62" s="69">
        <v>0.85</v>
      </c>
      <c r="H62" s="69">
        <v>0.85</v>
      </c>
      <c r="I62" s="69">
        <v>0.85</v>
      </c>
      <c r="J62" s="69">
        <v>0.85</v>
      </c>
      <c r="K62" s="69">
        <v>0.85</v>
      </c>
      <c r="L62" s="69">
        <v>0.85</v>
      </c>
      <c r="M62" s="69">
        <v>0.85</v>
      </c>
      <c r="V62" s="84"/>
    </row>
    <row r="63" spans="2:22">
      <c r="B63" t="s">
        <v>293</v>
      </c>
      <c r="G63" s="5">
        <f ca="1">'Battery Design'!G180-0.5*'Battery Design'!G178</f>
        <v>510.78746301820172</v>
      </c>
      <c r="H63" s="5">
        <f ca="1">'Battery Design'!H180-0.5*'Battery Design'!H178</f>
        <v>510.78746301820172</v>
      </c>
      <c r="I63" s="5">
        <f ca="1">'Battery Design'!I180-0.5*'Battery Design'!I178</f>
        <v>510.78746301820172</v>
      </c>
      <c r="J63" s="5">
        <f ca="1">'Battery Design'!J180-0.5*'Battery Design'!J178</f>
        <v>510.78746301820172</v>
      </c>
      <c r="K63" s="5">
        <f ca="1">'Battery Design'!K180-0.5*'Battery Design'!K178</f>
        <v>510.78746301820172</v>
      </c>
      <c r="L63" s="5">
        <f ca="1">'Battery Design'!L180-0.5*'Battery Design'!L178</f>
        <v>510.78746301820172</v>
      </c>
      <c r="M63" s="5">
        <f ca="1">'Battery Design'!M180-0.5*'Battery Design'!M178</f>
        <v>510.78746301820172</v>
      </c>
      <c r="V63" s="86"/>
    </row>
    <row r="64" spans="2:22">
      <c r="B64" t="s">
        <v>294</v>
      </c>
      <c r="G64" s="15">
        <f ca="1">'Battery Design'!G148</f>
        <v>84.999999999999957</v>
      </c>
      <c r="H64" s="15">
        <f ca="1">'Battery Design'!H148</f>
        <v>84.999999999999957</v>
      </c>
      <c r="I64" s="15">
        <f ca="1">'Battery Design'!I148</f>
        <v>84.999999999999957</v>
      </c>
      <c r="J64" s="15">
        <f ca="1">'Battery Design'!J148</f>
        <v>84.999999999999957</v>
      </c>
      <c r="K64" s="15">
        <f ca="1">'Battery Design'!K148</f>
        <v>84.999999999999957</v>
      </c>
      <c r="L64" s="15">
        <f ca="1">'Battery Design'!L148</f>
        <v>84.999999999999957</v>
      </c>
      <c r="M64" s="15">
        <f ca="1">'Battery Design'!M148</f>
        <v>84.999999999999957</v>
      </c>
      <c r="V64" s="72"/>
    </row>
    <row r="65" spans="2:23">
      <c r="B65" s="161" t="s">
        <v>1535</v>
      </c>
      <c r="G65" s="5">
        <f ca="1">IF(OR('Battery Design'!G62="microHEV",'Battery Design'!G62="HEV-HP"),"NA",G64*(100-G35)/100*1000*3600/G62/G63/1000+G61)</f>
        <v>36.839082694312211</v>
      </c>
      <c r="H65" s="5">
        <f ca="1">IF(OR('Battery Design'!H62="microHEV",'Battery Design'!H62="HEV-HP"),"NA",H64*(100-H35)/100*1000*3600/H62/H63/1000+H61)</f>
        <v>36.839082694312211</v>
      </c>
      <c r="I65" s="5">
        <f ca="1">IF(OR('Battery Design'!I62="microHEV",'Battery Design'!I62="HEV-HP"),"NA",I64*(100-I35)/100*1000*3600/I62/I63/1000+I61)</f>
        <v>36.839082694312211</v>
      </c>
      <c r="J65" s="5">
        <f ca="1">IF(OR('Battery Design'!J62="microHEV",'Battery Design'!J62="HEV-HP"),"NA",J64*(100-J35)/100*1000*3600/J62/J63/1000+J61)</f>
        <v>36.839082694312211</v>
      </c>
      <c r="K65" s="5">
        <f ca="1">IF(OR('Battery Design'!K62="microHEV",'Battery Design'!K62="HEV-HP"),"NA",K64*(100-K35)/100*1000*3600/K62/K63/1000+K61)</f>
        <v>36.839082694312211</v>
      </c>
      <c r="L65" s="5">
        <f ca="1">IF(OR('Battery Design'!L62="microHEV",'Battery Design'!L62="HEV-HP"),"NA",L64*(100-L35)/100*1000*3600/L62/L63/1000+L61)</f>
        <v>36.839082694312211</v>
      </c>
      <c r="M65" s="5">
        <f ca="1">IF(OR('Battery Design'!M62="microHEV",'Battery Design'!M62="HEV-HP"),"NA",M64*(100-M35)/100*1000*3600/M62/M63/1000+M61)</f>
        <v>36.839082694312211</v>
      </c>
      <c r="N65" s="242"/>
      <c r="V65" s="86"/>
    </row>
    <row r="66" spans="2:23" ht="16">
      <c r="B66" s="13" t="s">
        <v>468</v>
      </c>
      <c r="V66" s="74"/>
    </row>
    <row r="67" spans="2:23" ht="16">
      <c r="B67" s="13" t="s">
        <v>433</v>
      </c>
      <c r="G67" s="374" t="str">
        <f>'Battery Design'!G63</f>
        <v>EG-W</v>
      </c>
      <c r="H67" s="374" t="str">
        <f>'Battery Design'!H63</f>
        <v>EG-W</v>
      </c>
      <c r="I67" s="374" t="str">
        <f>'Battery Design'!I63</f>
        <v>EG-W</v>
      </c>
      <c r="J67" s="374" t="str">
        <f>'Battery Design'!J63</f>
        <v>EG-W</v>
      </c>
      <c r="K67" s="374" t="str">
        <f>'Battery Design'!K63</f>
        <v>EG-W</v>
      </c>
      <c r="L67" s="374" t="str">
        <f>'Battery Design'!L63</f>
        <v>EG-W</v>
      </c>
      <c r="M67" s="374" t="str">
        <f>'Battery Design'!M63</f>
        <v>EG-W</v>
      </c>
      <c r="V67" s="184"/>
    </row>
    <row r="68" spans="2:23" ht="16">
      <c r="B68" s="13" t="s">
        <v>385</v>
      </c>
      <c r="F68" s="61"/>
      <c r="G68" s="5"/>
      <c r="H68" s="5"/>
      <c r="I68" s="5"/>
      <c r="J68" s="5"/>
      <c r="K68" s="5"/>
      <c r="L68" s="5"/>
      <c r="M68" s="5"/>
      <c r="V68" s="86"/>
    </row>
    <row r="69" spans="2:23">
      <c r="B69" s="4" t="s">
        <v>442</v>
      </c>
      <c r="D69" s="3"/>
      <c r="F69" s="127"/>
      <c r="G69" s="159" t="str">
        <f t="shared" ref="G69" si="23">IF(G67="EG-W"," ","NA")</f>
        <v xml:space="preserve"> </v>
      </c>
      <c r="H69" s="159" t="str">
        <f t="shared" ref="H69:M69" si="24">IF(H67="EG-W"," ","NA")</f>
        <v xml:space="preserve"> </v>
      </c>
      <c r="I69" s="159" t="str">
        <f t="shared" si="24"/>
        <v xml:space="preserve"> </v>
      </c>
      <c r="J69" s="159" t="str">
        <f t="shared" si="24"/>
        <v xml:space="preserve"> </v>
      </c>
      <c r="K69" s="159" t="str">
        <f t="shared" si="24"/>
        <v xml:space="preserve"> </v>
      </c>
      <c r="L69" s="159" t="str">
        <f t="shared" si="24"/>
        <v xml:space="preserve"> </v>
      </c>
      <c r="M69" s="159" t="str">
        <f t="shared" si="24"/>
        <v xml:space="preserve"> </v>
      </c>
      <c r="V69" s="356"/>
    </row>
    <row r="70" spans="2:23">
      <c r="B70" s="6" t="s">
        <v>305</v>
      </c>
      <c r="D70" s="3"/>
      <c r="F70" s="127"/>
      <c r="G70" s="15">
        <f ca="1">G38/'Battery Design'!G74</f>
        <v>1.5685106895050314</v>
      </c>
      <c r="H70" s="15">
        <f ca="1">H38/'Battery Design'!H74</f>
        <v>1.5685106895050314</v>
      </c>
      <c r="I70" s="15">
        <f ca="1">I38/'Battery Design'!I74</f>
        <v>1.5685106895050314</v>
      </c>
      <c r="J70" s="15">
        <f ca="1">J38/'Battery Design'!J74</f>
        <v>1.5685106895050314</v>
      </c>
      <c r="K70" s="15">
        <f ca="1">K38/'Battery Design'!K74</f>
        <v>1.5685106895050314</v>
      </c>
      <c r="L70" s="15">
        <f ca="1">L38/'Battery Design'!L74</f>
        <v>1.5685106895050314</v>
      </c>
      <c r="M70" s="15">
        <f ca="1">M38/'Battery Design'!M74</f>
        <v>1.5685106895050314</v>
      </c>
      <c r="V70" s="72"/>
      <c r="W70" s="72"/>
    </row>
    <row r="71" spans="2:23">
      <c r="B71" s="6" t="s">
        <v>306</v>
      </c>
      <c r="D71" s="3"/>
      <c r="F71" s="127"/>
      <c r="G71" s="15">
        <f ca="1">'Battery Design'!G134/10</f>
        <v>23.194651054103598</v>
      </c>
      <c r="H71" s="15">
        <f ca="1">'Battery Design'!H134/10</f>
        <v>23.194651054103598</v>
      </c>
      <c r="I71" s="15">
        <f ca="1">'Battery Design'!I134/10</f>
        <v>23.194651054103598</v>
      </c>
      <c r="J71" s="15">
        <f ca="1">'Battery Design'!J134/10</f>
        <v>23.194651054103598</v>
      </c>
      <c r="K71" s="15">
        <f ca="1">'Battery Design'!K134/10</f>
        <v>23.194651054103598</v>
      </c>
      <c r="L71" s="15">
        <f ca="1">'Battery Design'!L134/10</f>
        <v>23.194651054103598</v>
      </c>
      <c r="M71" s="15">
        <f ca="1">'Battery Design'!M134/10</f>
        <v>23.194651054103598</v>
      </c>
      <c r="V71" s="72"/>
      <c r="W71" s="72"/>
    </row>
    <row r="72" spans="2:23">
      <c r="B72" s="6" t="s">
        <v>376</v>
      </c>
      <c r="F72" s="61"/>
      <c r="G72" s="134"/>
      <c r="H72" s="134"/>
      <c r="I72" s="134"/>
      <c r="J72" s="134"/>
      <c r="K72" s="134"/>
      <c r="L72" s="134"/>
      <c r="M72" s="134"/>
      <c r="V72" s="136"/>
      <c r="W72" s="136"/>
    </row>
    <row r="73" spans="2:23">
      <c r="B73" s="6" t="s">
        <v>375</v>
      </c>
      <c r="F73" s="87"/>
      <c r="G73" s="136">
        <f>IF('Battery Design'!G62="PHEV",0.04,IF('Battery Design'!G62="EV",0.04,0.02))</f>
        <v>0.04</v>
      </c>
      <c r="H73" s="136">
        <f>IF('Battery Design'!H62="PHEV",0.04,IF('Battery Design'!H62="EV",0.04,0.02))</f>
        <v>0.04</v>
      </c>
      <c r="I73" s="136">
        <f>IF('Battery Design'!I62="PHEV",0.04,IF('Battery Design'!I62="EV",0.04,0.02))</f>
        <v>0.04</v>
      </c>
      <c r="J73" s="136">
        <f>IF('Battery Design'!J62="PHEV",0.04,IF('Battery Design'!J62="EV",0.04,0.02))</f>
        <v>0.04</v>
      </c>
      <c r="K73" s="136">
        <f>IF('Battery Design'!K62="PHEV",0.04,IF('Battery Design'!K62="EV",0.04,0.02))</f>
        <v>0.04</v>
      </c>
      <c r="L73" s="136">
        <f>IF('Battery Design'!L62="PHEV",0.04,IF('Battery Design'!L62="EV",0.04,0.02))</f>
        <v>0.04</v>
      </c>
      <c r="M73" s="136">
        <f>IF('Battery Design'!M62="PHEV",0.04,IF('Battery Design'!M62="EV",0.04,0.02))</f>
        <v>0.04</v>
      </c>
      <c r="V73" s="136"/>
      <c r="W73" s="136"/>
    </row>
    <row r="74" spans="2:23">
      <c r="B74" s="6" t="s">
        <v>307</v>
      </c>
      <c r="F74" s="61"/>
      <c r="G74" s="108">
        <f>'Battery Design'!G135/10+2*'Battery Design'!G27/10000</f>
        <v>0.06</v>
      </c>
      <c r="H74" s="108">
        <f>'Battery Design'!H135/10+2*'Battery Design'!H27/10000</f>
        <v>0.06</v>
      </c>
      <c r="I74" s="108">
        <f>'Battery Design'!I135/10+2*'Battery Design'!I27/10000</f>
        <v>0.06</v>
      </c>
      <c r="J74" s="108">
        <f>'Battery Design'!J135/10+2*'Battery Design'!J27/10000</f>
        <v>0.06</v>
      </c>
      <c r="K74" s="108">
        <f>'Battery Design'!K135/10+2*'Battery Design'!K27/10000</f>
        <v>0.06</v>
      </c>
      <c r="L74" s="108">
        <f>'Battery Design'!L135/10+2*'Battery Design'!L27/10000</f>
        <v>0.06</v>
      </c>
      <c r="M74" s="108">
        <f>'Battery Design'!M135/10+2*'Battery Design'!M27/10000</f>
        <v>0.06</v>
      </c>
      <c r="V74" s="136"/>
      <c r="W74" s="136"/>
    </row>
    <row r="75" spans="2:23">
      <c r="B75" s="6" t="s">
        <v>308</v>
      </c>
      <c r="F75" s="61"/>
      <c r="G75" s="15">
        <f ca="1">'Battery Design'!G35/10</f>
        <v>2.0018696318442375</v>
      </c>
      <c r="H75" s="15">
        <f ca="1">'Battery Design'!H35/10</f>
        <v>2.0018696318442375</v>
      </c>
      <c r="I75" s="15">
        <f ca="1">'Battery Design'!I35/10</f>
        <v>2.0018696318442375</v>
      </c>
      <c r="J75" s="15">
        <f ca="1">'Battery Design'!J35/10</f>
        <v>2.0018696318442375</v>
      </c>
      <c r="K75" s="15">
        <f ca="1">'Battery Design'!K35/10</f>
        <v>2.0018696318442375</v>
      </c>
      <c r="L75" s="15">
        <f ca="1">'Battery Design'!L35/10</f>
        <v>2.0018696318442375</v>
      </c>
      <c r="M75" s="15">
        <f ca="1">'Battery Design'!M35/10</f>
        <v>2.0018696318442375</v>
      </c>
      <c r="V75" s="72"/>
      <c r="W75" s="72"/>
    </row>
    <row r="76" spans="2:23">
      <c r="B76" s="6" t="s">
        <v>309</v>
      </c>
      <c r="F76" s="128"/>
      <c r="G76" s="5">
        <f ca="1">'Battery Design'!G120/10</f>
        <v>7.931550351367866</v>
      </c>
      <c r="H76" s="5">
        <f ca="1">'Battery Design'!H120/10</f>
        <v>7.931550351367866</v>
      </c>
      <c r="I76" s="5">
        <f ca="1">'Battery Design'!I120/10</f>
        <v>7.931550351367866</v>
      </c>
      <c r="J76" s="5">
        <f ca="1">'Battery Design'!J120/10</f>
        <v>7.931550351367866</v>
      </c>
      <c r="K76" s="5">
        <f ca="1">'Battery Design'!K120/10</f>
        <v>7.931550351367866</v>
      </c>
      <c r="L76" s="5">
        <f ca="1">'Battery Design'!L120/10</f>
        <v>7.931550351367866</v>
      </c>
      <c r="M76" s="5">
        <f ca="1">'Battery Design'!M120/10</f>
        <v>7.931550351367866</v>
      </c>
      <c r="V76" s="86"/>
      <c r="W76" s="86"/>
    </row>
    <row r="77" spans="2:23">
      <c r="B77" s="6" t="s">
        <v>310</v>
      </c>
      <c r="F77" s="128"/>
      <c r="G77" s="15">
        <f>'Battery Design'!G36/10</f>
        <v>0.1</v>
      </c>
      <c r="H77" s="15">
        <f>'Battery Design'!H36/10</f>
        <v>0.1</v>
      </c>
      <c r="I77" s="15">
        <f>'Battery Design'!I36/10</f>
        <v>0.1</v>
      </c>
      <c r="J77" s="15">
        <f>'Battery Design'!J36/10</f>
        <v>0.1</v>
      </c>
      <c r="K77" s="15">
        <f>'Battery Design'!K36/10</f>
        <v>0.1</v>
      </c>
      <c r="L77" s="15">
        <f>'Battery Design'!L36/10</f>
        <v>0.1</v>
      </c>
      <c r="M77" s="15">
        <f>'Battery Design'!M36/10</f>
        <v>0.1</v>
      </c>
      <c r="V77" s="72"/>
      <c r="W77" s="72"/>
    </row>
    <row r="78" spans="2:23">
      <c r="B78" s="853" t="s">
        <v>1536</v>
      </c>
      <c r="G78" s="112">
        <f t="shared" ref="G78:M78" ca="1" si="25">3.917*G71/10*G57^0.58*G56^-0.19*G75^1.2*G76^-0.75</f>
        <v>4.1506086092678061</v>
      </c>
      <c r="H78" s="112">
        <f t="shared" ca="1" si="25"/>
        <v>4.1506086092678061</v>
      </c>
      <c r="I78" s="112">
        <f t="shared" ca="1" si="25"/>
        <v>4.1506086092678061</v>
      </c>
      <c r="J78" s="112">
        <f t="shared" ca="1" si="25"/>
        <v>4.1506086092678061</v>
      </c>
      <c r="K78" s="112">
        <f t="shared" ca="1" si="25"/>
        <v>4.1506086092678061</v>
      </c>
      <c r="L78" s="112">
        <f t="shared" ca="1" si="25"/>
        <v>4.1506086092678061</v>
      </c>
      <c r="M78" s="112">
        <f t="shared" ca="1" si="25"/>
        <v>4.1506086092678061</v>
      </c>
      <c r="V78" s="190"/>
      <c r="W78" s="190"/>
    </row>
    <row r="79" spans="2:23">
      <c r="B79" s="853" t="s">
        <v>1537</v>
      </c>
      <c r="G79" s="112">
        <f t="shared" ref="G79:M79" ca="1" si="26">1628*G71/10*G57^0.55*G56^0.58*G74^-0.21*G76^-0.7*G74^0.72</f>
        <v>5.3512589031685955</v>
      </c>
      <c r="H79" s="112">
        <f t="shared" ca="1" si="26"/>
        <v>5.3512589031685955</v>
      </c>
      <c r="I79" s="112">
        <f t="shared" ca="1" si="26"/>
        <v>5.3512589031685955</v>
      </c>
      <c r="J79" s="112">
        <f t="shared" ca="1" si="26"/>
        <v>5.3512589031685955</v>
      </c>
      <c r="K79" s="112">
        <f t="shared" ca="1" si="26"/>
        <v>5.3512589031685955</v>
      </c>
      <c r="L79" s="112">
        <f t="shared" ca="1" si="26"/>
        <v>5.3512589031685955</v>
      </c>
      <c r="M79" s="112">
        <f t="shared" ca="1" si="26"/>
        <v>5.3512589031685955</v>
      </c>
      <c r="V79" s="190"/>
      <c r="W79" s="190"/>
    </row>
    <row r="80" spans="2:23">
      <c r="B80" s="853" t="s">
        <v>1538</v>
      </c>
      <c r="G80" s="15">
        <f t="shared" ref="G80:M80" ca="1" si="27">G70/(G78+G79)</f>
        <v>0.16507393809186516</v>
      </c>
      <c r="H80" s="15">
        <f t="shared" ca="1" si="27"/>
        <v>0.16507393809186516</v>
      </c>
      <c r="I80" s="15">
        <f t="shared" ca="1" si="27"/>
        <v>0.16507393809186516</v>
      </c>
      <c r="J80" s="15">
        <f t="shared" ca="1" si="27"/>
        <v>0.16507393809186516</v>
      </c>
      <c r="K80" s="15">
        <f t="shared" ca="1" si="27"/>
        <v>0.16507393809186516</v>
      </c>
      <c r="L80" s="15">
        <f t="shared" ca="1" si="27"/>
        <v>0.16507393809186516</v>
      </c>
      <c r="M80" s="15">
        <f t="shared" ca="1" si="27"/>
        <v>0.16507393809186516</v>
      </c>
      <c r="V80" s="72"/>
      <c r="W80" s="72"/>
    </row>
    <row r="81" spans="2:23" ht="14">
      <c r="B81" s="164" t="s">
        <v>386</v>
      </c>
      <c r="D81" s="255" t="s">
        <v>929</v>
      </c>
      <c r="G81" s="123"/>
      <c r="H81" s="123"/>
      <c r="I81" s="123"/>
      <c r="J81" s="123"/>
      <c r="K81" s="123"/>
      <c r="L81" s="123"/>
      <c r="M81" s="123"/>
      <c r="V81" s="156"/>
      <c r="W81" s="156"/>
    </row>
    <row r="82" spans="2:23">
      <c r="B82" s="753" t="s">
        <v>441</v>
      </c>
      <c r="D82" s="84"/>
      <c r="E82" s="84"/>
      <c r="F82" s="84"/>
      <c r="G82" s="123"/>
      <c r="H82" s="123"/>
      <c r="I82" s="123"/>
      <c r="J82" s="123"/>
      <c r="K82" s="123"/>
      <c r="L82" s="123"/>
      <c r="M82" s="123"/>
      <c r="N82" s="257" t="s">
        <v>686</v>
      </c>
      <c r="V82" s="156"/>
      <c r="W82" s="156"/>
    </row>
    <row r="83" spans="2:23">
      <c r="B83" s="161" t="s">
        <v>1539</v>
      </c>
      <c r="D83" s="72"/>
      <c r="E83" s="74"/>
      <c r="F83" s="74"/>
      <c r="G83" s="67">
        <v>3.2639999999999998</v>
      </c>
      <c r="H83" s="67">
        <v>3.2639999999999998</v>
      </c>
      <c r="I83" s="67">
        <v>3.2639999999999998</v>
      </c>
      <c r="J83" s="67">
        <v>3.2639999999999998</v>
      </c>
      <c r="K83" s="67">
        <v>3.2639999999999998</v>
      </c>
      <c r="L83" s="67">
        <v>3.2639999999999998</v>
      </c>
      <c r="M83" s="67">
        <v>3.2639999999999998</v>
      </c>
      <c r="N83" s="67">
        <v>1.51</v>
      </c>
      <c r="V83" s="72"/>
      <c r="W83" s="72"/>
    </row>
    <row r="84" spans="2:23" ht="14">
      <c r="B84" s="161" t="s">
        <v>1415</v>
      </c>
      <c r="D84" s="84"/>
      <c r="E84" s="74"/>
      <c r="F84" s="74"/>
      <c r="G84" s="67">
        <v>1.07</v>
      </c>
      <c r="H84" s="67">
        <v>1.07</v>
      </c>
      <c r="I84" s="67">
        <v>1.07</v>
      </c>
      <c r="J84" s="67">
        <v>1.07</v>
      </c>
      <c r="K84" s="67">
        <v>1.07</v>
      </c>
      <c r="L84" s="67">
        <v>1.07</v>
      </c>
      <c r="M84" s="67">
        <v>1.07</v>
      </c>
      <c r="N84" s="67">
        <v>0.96</v>
      </c>
      <c r="V84" s="72"/>
      <c r="W84" s="72"/>
    </row>
    <row r="85" spans="2:23" ht="14">
      <c r="B85" s="161" t="s">
        <v>1416</v>
      </c>
      <c r="G85" s="67">
        <v>0.05</v>
      </c>
      <c r="H85" s="67">
        <v>0.05</v>
      </c>
      <c r="I85" s="67">
        <v>0.05</v>
      </c>
      <c r="J85" s="67">
        <v>0.05</v>
      </c>
      <c r="K85" s="67">
        <v>0.05</v>
      </c>
      <c r="L85" s="67">
        <v>0.05</v>
      </c>
      <c r="M85" s="67">
        <v>0.05</v>
      </c>
      <c r="N85" s="67">
        <v>0.5</v>
      </c>
      <c r="V85" s="72"/>
      <c r="W85" s="72"/>
    </row>
    <row r="86" spans="2:23" ht="15">
      <c r="B86" s="161" t="s">
        <v>1417</v>
      </c>
      <c r="G86" s="180">
        <f t="shared" ref="G86:M86" si="28">G59</f>
        <v>4.3E-3</v>
      </c>
      <c r="H86" s="180">
        <f t="shared" si="28"/>
        <v>4.3E-3</v>
      </c>
      <c r="I86" s="180">
        <f t="shared" si="28"/>
        <v>4.3E-3</v>
      </c>
      <c r="J86" s="180">
        <f t="shared" si="28"/>
        <v>4.3E-3</v>
      </c>
      <c r="K86" s="180">
        <f t="shared" si="28"/>
        <v>4.3E-3</v>
      </c>
      <c r="L86" s="180">
        <f t="shared" si="28"/>
        <v>4.3E-3</v>
      </c>
      <c r="M86" s="180">
        <f t="shared" si="28"/>
        <v>4.3E-3</v>
      </c>
      <c r="N86" s="153">
        <v>1.5100000000000001E-3</v>
      </c>
      <c r="V86" s="156"/>
      <c r="W86" s="156"/>
    </row>
    <row r="87" spans="2:23">
      <c r="B87" s="256" t="s">
        <v>321</v>
      </c>
      <c r="G87" s="15">
        <f ca="1">G97*('Battery Design'!G158-2*'Battery Design'!G78)/10*Thermal!G93/1000</f>
        <v>18.199564880824038</v>
      </c>
      <c r="H87" s="15">
        <f ca="1">H97*('Battery Design'!H158-2*'Battery Design'!H78)/10*Thermal!H93/1000</f>
        <v>18.199564880824038</v>
      </c>
      <c r="I87" s="15">
        <f ca="1">I97*('Battery Design'!I158-2*'Battery Design'!I78)/10*Thermal!I93/1000</f>
        <v>18.199564880824038</v>
      </c>
      <c r="J87" s="15">
        <f ca="1">J97*('Battery Design'!J158-2*'Battery Design'!J78)/10*Thermal!J93/1000</f>
        <v>18.199564880824038</v>
      </c>
      <c r="K87" s="15">
        <f ca="1">K97*('Battery Design'!K158-2*'Battery Design'!K78)/10*Thermal!K93/1000</f>
        <v>18.199564880824038</v>
      </c>
      <c r="L87" s="15">
        <f ca="1">L97*('Battery Design'!L158-2*'Battery Design'!L78)/10*Thermal!L93/1000</f>
        <v>18.199564880824038</v>
      </c>
      <c r="M87" s="15">
        <f ca="1">M97*('Battery Design'!M158-2*'Battery Design'!M78)/10*Thermal!M93/1000</f>
        <v>18.199564880824038</v>
      </c>
      <c r="V87" s="72"/>
      <c r="W87" s="72"/>
    </row>
    <row r="88" spans="2:23">
      <c r="B88" s="6" t="s">
        <v>322</v>
      </c>
      <c r="G88" s="15">
        <f t="shared" ref="G88" ca="1" si="29">G87*G84</f>
        <v>19.473534422481723</v>
      </c>
      <c r="H88" s="15">
        <f t="shared" ref="H88:M88" ca="1" si="30">H87*H84</f>
        <v>19.473534422481723</v>
      </c>
      <c r="I88" s="15">
        <f t="shared" ca="1" si="30"/>
        <v>19.473534422481723</v>
      </c>
      <c r="J88" s="15">
        <f t="shared" ca="1" si="30"/>
        <v>19.473534422481723</v>
      </c>
      <c r="K88" s="15">
        <f t="shared" ca="1" si="30"/>
        <v>19.473534422481723</v>
      </c>
      <c r="L88" s="15">
        <f t="shared" ca="1" si="30"/>
        <v>19.473534422481723</v>
      </c>
      <c r="M88" s="15">
        <f t="shared" ca="1" si="30"/>
        <v>19.473534422481723</v>
      </c>
      <c r="V88" s="72"/>
      <c r="W88" s="72"/>
    </row>
    <row r="89" spans="2:23">
      <c r="B89" s="161" t="s">
        <v>1540</v>
      </c>
      <c r="G89" s="248">
        <v>15</v>
      </c>
      <c r="H89" s="248">
        <v>15</v>
      </c>
      <c r="I89" s="248">
        <v>15</v>
      </c>
      <c r="J89" s="248">
        <v>15</v>
      </c>
      <c r="K89" s="248">
        <v>15</v>
      </c>
      <c r="L89" s="248">
        <v>15</v>
      </c>
      <c r="M89" s="248">
        <v>15</v>
      </c>
      <c r="V89" s="88"/>
      <c r="W89" s="88"/>
    </row>
    <row r="90" spans="2:23">
      <c r="B90" s="853" t="s">
        <v>1541</v>
      </c>
      <c r="F90" s="56"/>
      <c r="G90" s="250">
        <v>1</v>
      </c>
      <c r="H90" s="250">
        <v>1</v>
      </c>
      <c r="I90" s="250">
        <v>1</v>
      </c>
      <c r="J90" s="250">
        <v>1</v>
      </c>
      <c r="K90" s="250">
        <v>1</v>
      </c>
      <c r="L90" s="250">
        <v>1</v>
      </c>
      <c r="M90" s="250">
        <v>1</v>
      </c>
      <c r="V90" s="86"/>
      <c r="W90" s="86"/>
    </row>
    <row r="91" spans="2:23">
      <c r="B91" s="6" t="s">
        <v>301</v>
      </c>
      <c r="F91" s="61"/>
      <c r="G91" s="3">
        <f t="shared" ref="G91:L91" ca="1" si="31">G38/G83/G84/G90</f>
        <v>179.6443432180034</v>
      </c>
      <c r="H91" s="3">
        <f t="shared" ca="1" si="31"/>
        <v>179.6443432180034</v>
      </c>
      <c r="I91" s="3">
        <f t="shared" ca="1" si="31"/>
        <v>179.6443432180034</v>
      </c>
      <c r="J91" s="3">
        <f t="shared" ca="1" si="31"/>
        <v>179.6443432180034</v>
      </c>
      <c r="K91" s="3">
        <f t="shared" ca="1" si="31"/>
        <v>179.6443432180034</v>
      </c>
      <c r="L91" s="3">
        <f t="shared" ca="1" si="31"/>
        <v>179.6443432180034</v>
      </c>
      <c r="M91" s="3">
        <f ca="1">M38/M83/M84/M90</f>
        <v>179.6443432180034</v>
      </c>
      <c r="V91" s="88"/>
      <c r="W91" s="88"/>
    </row>
    <row r="92" spans="2:23">
      <c r="B92" s="6" t="s">
        <v>1487</v>
      </c>
      <c r="F92" s="107"/>
      <c r="G92" s="15">
        <f t="shared" ref="G92" ca="1" si="32">G91*G84/G95</f>
        <v>4.7107048824169429</v>
      </c>
      <c r="H92" s="15">
        <f t="shared" ref="H92:L92" ca="1" si="33">H91*H84/H95</f>
        <v>4.7107048824169429</v>
      </c>
      <c r="I92" s="15">
        <f t="shared" ca="1" si="33"/>
        <v>4.7107048824169429</v>
      </c>
      <c r="J92" s="15">
        <f t="shared" ca="1" si="33"/>
        <v>4.7107048824169429</v>
      </c>
      <c r="K92" s="15">
        <f t="shared" ca="1" si="33"/>
        <v>4.7107048824169429</v>
      </c>
      <c r="L92" s="15">
        <f t="shared" ca="1" si="33"/>
        <v>4.7107048824169429</v>
      </c>
      <c r="M92" s="15">
        <f ca="1">M91*M84/M95</f>
        <v>4.7107048824169429</v>
      </c>
      <c r="V92" s="72"/>
      <c r="W92" s="72"/>
    </row>
    <row r="93" spans="2:23">
      <c r="B93" s="6" t="s">
        <v>302</v>
      </c>
      <c r="F93" s="61"/>
      <c r="G93" s="15">
        <f ca="1">IF(1/1.8*(48*G97*G92*G85/(G100*G84*1000000))^(1/2)&gt;0.3,1/1.8*(48*G97*G92*G85/(G100*G84*1000000))^(1/2),0.3)</f>
        <v>0.37789723778240197</v>
      </c>
      <c r="H93" s="15">
        <f t="shared" ref="H93:M93" ca="1" si="34">IF(1/1.8*(48*H97*H92*H85/(H100*H84*1000000))^(1/2)&gt;0.3,1/1.8*(48*H97*H92*H85/(H100*H84*1000000))^(1/2),0.3)</f>
        <v>0.37789723778240197</v>
      </c>
      <c r="I93" s="15">
        <f t="shared" ca="1" si="34"/>
        <v>0.37789723778240197</v>
      </c>
      <c r="J93" s="15">
        <f t="shared" ca="1" si="34"/>
        <v>0.37789723778240197</v>
      </c>
      <c r="K93" s="15">
        <f t="shared" ca="1" si="34"/>
        <v>0.37789723778240197</v>
      </c>
      <c r="L93" s="15">
        <f t="shared" ca="1" si="34"/>
        <v>0.37789723778240197</v>
      </c>
      <c r="M93" s="15">
        <f t="shared" ca="1" si="34"/>
        <v>0.37789723778240197</v>
      </c>
      <c r="V93" s="72"/>
      <c r="W93" s="72"/>
    </row>
    <row r="94" spans="2:23">
      <c r="B94" s="6" t="s">
        <v>295</v>
      </c>
      <c r="F94" s="107"/>
      <c r="G94" s="15">
        <f ca="1">G93*1.8</f>
        <v>0.68021502800832356</v>
      </c>
      <c r="H94" s="15">
        <f t="shared" ref="H94:M94" ca="1" si="35">H93*1.8</f>
        <v>0.68021502800832356</v>
      </c>
      <c r="I94" s="15">
        <f t="shared" ca="1" si="35"/>
        <v>0.68021502800832356</v>
      </c>
      <c r="J94" s="15">
        <f t="shared" ca="1" si="35"/>
        <v>0.68021502800832356</v>
      </c>
      <c r="K94" s="15">
        <f t="shared" ca="1" si="35"/>
        <v>0.68021502800832356</v>
      </c>
      <c r="L94" s="15">
        <f t="shared" ca="1" si="35"/>
        <v>0.68021502800832356</v>
      </c>
      <c r="M94" s="15">
        <f t="shared" ca="1" si="35"/>
        <v>0.68021502800832356</v>
      </c>
      <c r="V94" s="72"/>
      <c r="W94" s="72"/>
    </row>
    <row r="95" spans="2:23">
      <c r="B95" s="6" t="s">
        <v>1492</v>
      </c>
      <c r="F95" s="61"/>
      <c r="G95" s="5">
        <f ca="1">IF(Dashboard!$D56=0,25,'Battery Design'!G140/10*'Battery Design'!G71*G93)</f>
        <v>40.804816272982222</v>
      </c>
      <c r="H95" s="5">
        <f ca="1">IF(Dashboard!$D56=0,25,'Battery Design'!H140/10*'Battery Design'!H71*H93)</f>
        <v>40.804816272982222</v>
      </c>
      <c r="I95" s="5">
        <f ca="1">IF(Dashboard!$D56=0,25,'Battery Design'!I140/10*'Battery Design'!I71*I93)</f>
        <v>40.804816272982222</v>
      </c>
      <c r="J95" s="5">
        <f ca="1">IF(Dashboard!$D56=0,25,'Battery Design'!J140/10*'Battery Design'!J71*J93)</f>
        <v>40.804816272982222</v>
      </c>
      <c r="K95" s="5">
        <f ca="1">IF(Dashboard!$D56=0,25,'Battery Design'!K140/10*'Battery Design'!K71*K93)</f>
        <v>40.804816272982222</v>
      </c>
      <c r="L95" s="5">
        <f ca="1">IF(Dashboard!$D56=0,25,'Battery Design'!L140/10*'Battery Design'!L71*L93)</f>
        <v>40.804816272982222</v>
      </c>
      <c r="M95" s="5">
        <f ca="1">IF(Dashboard!$D56=0,25,'Battery Design'!M140/10*'Battery Design'!M71*M93)</f>
        <v>40.804816272982222</v>
      </c>
      <c r="V95" s="86"/>
      <c r="W95" s="86"/>
    </row>
    <row r="96" spans="2:23">
      <c r="B96" s="6" t="s">
        <v>303</v>
      </c>
      <c r="F96" s="107"/>
      <c r="G96" s="5">
        <f t="shared" ref="G96" ca="1" si="36">G91/G95</f>
        <v>4.4025279274924687</v>
      </c>
      <c r="H96" s="5">
        <f t="shared" ref="H96:M96" ca="1" si="37">H91/H95</f>
        <v>4.4025279274924687</v>
      </c>
      <c r="I96" s="5">
        <f t="shared" ca="1" si="37"/>
        <v>4.4025279274924687</v>
      </c>
      <c r="J96" s="5">
        <f t="shared" ca="1" si="37"/>
        <v>4.4025279274924687</v>
      </c>
      <c r="K96" s="5">
        <f t="shared" ca="1" si="37"/>
        <v>4.4025279274924687</v>
      </c>
      <c r="L96" s="5">
        <f t="shared" ca="1" si="37"/>
        <v>4.4025279274924687</v>
      </c>
      <c r="M96" s="5">
        <f t="shared" ca="1" si="37"/>
        <v>4.4025279274924687</v>
      </c>
      <c r="V96" s="86"/>
      <c r="W96" s="86"/>
    </row>
    <row r="97" spans="2:23">
      <c r="B97" s="6" t="s">
        <v>296</v>
      </c>
      <c r="F97" s="56"/>
      <c r="G97" s="3">
        <f ca="1">('Battery Design'!G70*'Battery Design'!G141*2+'Battery Design'!G142)/10</f>
        <v>437.90417303865769</v>
      </c>
      <c r="H97" s="3">
        <f ca="1">('Battery Design'!H70*'Battery Design'!H141*2+'Battery Design'!H142)/10</f>
        <v>437.90417303865769</v>
      </c>
      <c r="I97" s="3">
        <f ca="1">('Battery Design'!I70*'Battery Design'!I141*2+'Battery Design'!I142)/10</f>
        <v>437.90417303865769</v>
      </c>
      <c r="J97" s="3">
        <f ca="1">('Battery Design'!J70*'Battery Design'!J141*2+'Battery Design'!J142)/10</f>
        <v>437.90417303865769</v>
      </c>
      <c r="K97" s="3">
        <f ca="1">('Battery Design'!K70*'Battery Design'!K141*2+'Battery Design'!K142)/10</f>
        <v>437.90417303865769</v>
      </c>
      <c r="L97" s="3">
        <f ca="1">('Battery Design'!L70*'Battery Design'!L141*2+'Battery Design'!L142)/10</f>
        <v>437.90417303865769</v>
      </c>
      <c r="M97" s="3">
        <f ca="1">('Battery Design'!M70*'Battery Design'!M141*2+'Battery Design'!M142)/10</f>
        <v>437.90417303865769</v>
      </c>
      <c r="V97" s="88"/>
      <c r="W97" s="88"/>
    </row>
    <row r="98" spans="2:23">
      <c r="B98" s="6" t="s">
        <v>297</v>
      </c>
      <c r="F98" s="107"/>
      <c r="G98" s="3">
        <f t="shared" ref="G98" ca="1" si="38">G94*G96*G84/G85</f>
        <v>64.085845070643728</v>
      </c>
      <c r="H98" s="3">
        <f t="shared" ref="H98:L98" ca="1" si="39">H94*H96*H84/H85</f>
        <v>64.085845070643728</v>
      </c>
      <c r="I98" s="3">
        <f t="shared" ca="1" si="39"/>
        <v>64.085845070643728</v>
      </c>
      <c r="J98" s="3">
        <f t="shared" ca="1" si="39"/>
        <v>64.085845070643728</v>
      </c>
      <c r="K98" s="3">
        <f t="shared" ca="1" si="39"/>
        <v>64.085845070643728</v>
      </c>
      <c r="L98" s="3">
        <f t="shared" ca="1" si="39"/>
        <v>64.085845070643728</v>
      </c>
      <c r="M98" s="3">
        <f ca="1">M94*M96*M84/M85</f>
        <v>64.085845070643728</v>
      </c>
      <c r="V98" s="88"/>
      <c r="W98" s="88"/>
    </row>
    <row r="99" spans="2:23" ht="14">
      <c r="B99" s="161" t="s">
        <v>443</v>
      </c>
      <c r="F99" s="56"/>
      <c r="G99" s="46">
        <f t="shared" ref="G99" ca="1" si="40">48*G85*G92*G97/(G84*G94^2)/1000000</f>
        <v>1.0000000000000004E-2</v>
      </c>
      <c r="H99" s="46">
        <f t="shared" ref="H99:M99" ca="1" si="41">48*H85*H92*H97/(H84*H94^2)/1000000</f>
        <v>1.0000000000000004E-2</v>
      </c>
      <c r="I99" s="46">
        <f t="shared" ca="1" si="41"/>
        <v>1.0000000000000004E-2</v>
      </c>
      <c r="J99" s="46">
        <f t="shared" ca="1" si="41"/>
        <v>1.0000000000000004E-2</v>
      </c>
      <c r="K99" s="46">
        <f t="shared" ca="1" si="41"/>
        <v>1.0000000000000004E-2</v>
      </c>
      <c r="L99" s="46">
        <f t="shared" ca="1" si="41"/>
        <v>1.0000000000000004E-2</v>
      </c>
      <c r="M99" s="46">
        <f t="shared" ca="1" si="41"/>
        <v>1.0000000000000004E-2</v>
      </c>
      <c r="V99" s="105"/>
      <c r="W99" s="105"/>
    </row>
    <row r="100" spans="2:23">
      <c r="B100" s="6" t="s">
        <v>298</v>
      </c>
      <c r="F100" s="125"/>
      <c r="G100" s="292">
        <v>0.01</v>
      </c>
      <c r="H100" s="292">
        <v>0.01</v>
      </c>
      <c r="I100" s="292">
        <v>0.01</v>
      </c>
      <c r="J100" s="292">
        <v>0.01</v>
      </c>
      <c r="K100" s="292">
        <v>0.01</v>
      </c>
      <c r="L100" s="292">
        <v>0.01</v>
      </c>
      <c r="M100" s="292">
        <v>0.01</v>
      </c>
      <c r="V100" s="105"/>
      <c r="W100" s="105"/>
    </row>
    <row r="101" spans="2:23">
      <c r="B101" s="6" t="s">
        <v>304</v>
      </c>
      <c r="G101" s="248">
        <v>50</v>
      </c>
      <c r="H101" s="248">
        <v>50</v>
      </c>
      <c r="I101" s="248">
        <v>50</v>
      </c>
      <c r="J101" s="248">
        <v>50</v>
      </c>
      <c r="K101" s="248">
        <v>50</v>
      </c>
      <c r="L101" s="248">
        <v>50</v>
      </c>
      <c r="M101" s="248">
        <v>50</v>
      </c>
      <c r="V101" s="88"/>
      <c r="W101" s="88"/>
    </row>
    <row r="102" spans="2:23">
      <c r="B102" s="161" t="s">
        <v>494</v>
      </c>
      <c r="F102" s="87"/>
      <c r="G102" s="3">
        <f ca="1">IF(G67="CA","NA",G91*G99/(G101/100)/10+G38/IF('Battery Design'!G185="Refrig 1",Thermal!$I$195,IF('Battery Design'!G185="Refrig 2",Thermal!$I$196,IF('Battery Design'!G185="Refrig 3",Thermal!$I$197,IF('Battery Design'!G185="Refrig 4",Thermal!$I$198)))))</f>
        <v>251.32099900724103</v>
      </c>
      <c r="H102" s="3">
        <f ca="1">IF(H67="CA","NA",H91*H99/(H101/100)/10+H38/IF('Battery Design'!H185="Refrig 1",Thermal!$I$195,IF('Battery Design'!H185="Refrig 2",Thermal!$I$196,IF('Battery Design'!H185="Refrig 3",Thermal!$I$197,IF('Battery Design'!H185="Refrig 4",Thermal!$I$198)))))</f>
        <v>251.32099900724103</v>
      </c>
      <c r="I102" s="3">
        <f ca="1">IF(I67="CA","NA",I91*I99/(I101/100)/10+I38/IF('Battery Design'!I185="Refrig 1",Thermal!$I$195,IF('Battery Design'!I185="Refrig 2",Thermal!$I$196,IF('Battery Design'!I185="Refrig 3",Thermal!$I$197,IF('Battery Design'!I185="Refrig 4",Thermal!$I$198)))))</f>
        <v>251.32099900724103</v>
      </c>
      <c r="J102" s="3">
        <f ca="1">IF(J67="CA","NA",J91*J99/(J101/100)/10+J38/IF('Battery Design'!J185="Refrig 1",Thermal!$I$195,IF('Battery Design'!J185="Refrig 2",Thermal!$I$196,IF('Battery Design'!J185="Refrig 3",Thermal!$I$197,IF('Battery Design'!J185="Refrig 4",Thermal!$I$198)))))</f>
        <v>251.32099900724103</v>
      </c>
      <c r="K102" s="3">
        <f ca="1">IF(K67="CA","NA",K91*K99/(K101/100)/10+K38/IF('Battery Design'!K185="Refrig 1",Thermal!$I$195,IF('Battery Design'!K185="Refrig 2",Thermal!$I$196,IF('Battery Design'!K185="Refrig 3",Thermal!$I$197,IF('Battery Design'!K185="Refrig 4",Thermal!$I$198)))))</f>
        <v>251.32099900724103</v>
      </c>
      <c r="L102" s="3">
        <f ca="1">IF(L67="CA","NA",L91*L99/(L101/100)/10+L38/IF('Battery Design'!L185="Refrig 1",Thermal!$I$195,IF('Battery Design'!L185="Refrig 2",Thermal!$I$196,IF('Battery Design'!L185="Refrig 3",Thermal!$I$197,IF('Battery Design'!L185="Refrig 4",Thermal!$I$198)))))</f>
        <v>251.32099900724103</v>
      </c>
      <c r="M102" s="3">
        <f ca="1">IF(M67="CA","NA",M91*M99/(M101/100)/10+M38/IF('Battery Design'!M185="Refrig 1",Thermal!$I$195,IF('Battery Design'!M185="Refrig 2",Thermal!$I$196,IF('Battery Design'!M185="Refrig 3",Thermal!$I$197,IF('Battery Design'!M185="Refrig 4",Thermal!$I$198)))))</f>
        <v>251.32099900724103</v>
      </c>
      <c r="V102" s="88"/>
      <c r="W102" s="88"/>
    </row>
    <row r="103" spans="2:23" ht="14">
      <c r="B103" s="164" t="s">
        <v>657</v>
      </c>
      <c r="F103" s="125"/>
      <c r="G103" s="159" t="str">
        <f t="shared" ref="G103:M103" si="42">IF(G67="CA","NA"," ")</f>
        <v xml:space="preserve"> </v>
      </c>
      <c r="H103" s="159" t="str">
        <f t="shared" si="42"/>
        <v xml:space="preserve"> </v>
      </c>
      <c r="I103" s="159" t="str">
        <f t="shared" si="42"/>
        <v xml:space="preserve"> </v>
      </c>
      <c r="J103" s="159" t="str">
        <f t="shared" si="42"/>
        <v xml:space="preserve"> </v>
      </c>
      <c r="K103" s="159" t="str">
        <f t="shared" si="42"/>
        <v xml:space="preserve"> </v>
      </c>
      <c r="L103" s="159" t="str">
        <f t="shared" si="42"/>
        <v xml:space="preserve"> </v>
      </c>
      <c r="M103" s="159" t="str">
        <f t="shared" si="42"/>
        <v xml:space="preserve"> </v>
      </c>
      <c r="V103" s="356"/>
      <c r="W103" s="356"/>
    </row>
    <row r="104" spans="2:23">
      <c r="B104" s="6" t="s">
        <v>299</v>
      </c>
      <c r="F104" s="126"/>
      <c r="G104" s="3">
        <f t="shared" ref="G104" ca="1" si="43">2*G91*G84*G83*G94/(G86*G97*G95/G93)</f>
        <v>4.1979614261732268</v>
      </c>
      <c r="H104" s="3">
        <f t="shared" ref="H104:M104" ca="1" si="44">2*H91*H84*H83*H94/(H86*H97*H95/H93)</f>
        <v>4.1979614261732268</v>
      </c>
      <c r="I104" s="3">
        <f t="shared" ca="1" si="44"/>
        <v>4.1979614261732268</v>
      </c>
      <c r="J104" s="3">
        <f t="shared" ca="1" si="44"/>
        <v>4.1979614261732268</v>
      </c>
      <c r="K104" s="3">
        <f t="shared" ca="1" si="44"/>
        <v>4.1979614261732268</v>
      </c>
      <c r="L104" s="3">
        <f t="shared" ca="1" si="44"/>
        <v>4.1979614261732268</v>
      </c>
      <c r="M104" s="3">
        <f t="shared" ca="1" si="44"/>
        <v>4.1979614261732268</v>
      </c>
      <c r="V104" s="88"/>
      <c r="W104" s="88"/>
    </row>
    <row r="105" spans="2:23">
      <c r="B105" s="6" t="s">
        <v>300</v>
      </c>
      <c r="F105" s="107"/>
      <c r="G105" s="15">
        <f t="shared" ref="G105" ca="1" si="45">(5.385^3.592+(2.255*G104^(1/3))^3.592)^(1/3.592)</f>
        <v>5.7229561748392044</v>
      </c>
      <c r="H105" s="15">
        <f t="shared" ref="H105:M105" ca="1" si="46">(5.385^3.592+(2.255*H104^(1/3))^3.592)^(1/3.592)</f>
        <v>5.7229561748392044</v>
      </c>
      <c r="I105" s="15">
        <f t="shared" ca="1" si="46"/>
        <v>5.7229561748392044</v>
      </c>
      <c r="J105" s="15">
        <f t="shared" ca="1" si="46"/>
        <v>5.7229561748392044</v>
      </c>
      <c r="K105" s="15">
        <f t="shared" ca="1" si="46"/>
        <v>5.7229561748392044</v>
      </c>
      <c r="L105" s="15">
        <f t="shared" ca="1" si="46"/>
        <v>5.7229561748392044</v>
      </c>
      <c r="M105" s="15">
        <f t="shared" ca="1" si="46"/>
        <v>5.7229561748392044</v>
      </c>
      <c r="V105" s="72"/>
      <c r="W105" s="72"/>
    </row>
    <row r="106" spans="2:23">
      <c r="B106" s="853" t="s">
        <v>1542</v>
      </c>
      <c r="F106" s="61"/>
      <c r="G106" s="124">
        <f t="shared" ref="G106" ca="1" si="47">G105*G86/G94</f>
        <v>3.617784162144011E-2</v>
      </c>
      <c r="H106" s="124">
        <f t="shared" ref="H106:M106" ca="1" si="48">H105*H86/H94</f>
        <v>3.617784162144011E-2</v>
      </c>
      <c r="I106" s="124">
        <f t="shared" ca="1" si="48"/>
        <v>3.617784162144011E-2</v>
      </c>
      <c r="J106" s="124">
        <f t="shared" ca="1" si="48"/>
        <v>3.617784162144011E-2</v>
      </c>
      <c r="K106" s="124">
        <f t="shared" ca="1" si="48"/>
        <v>3.617784162144011E-2</v>
      </c>
      <c r="L106" s="124">
        <f t="shared" ca="1" si="48"/>
        <v>3.617784162144011E-2</v>
      </c>
      <c r="M106" s="124">
        <f t="shared" ca="1" si="48"/>
        <v>3.617784162144011E-2</v>
      </c>
      <c r="V106" s="157"/>
      <c r="W106" s="157"/>
    </row>
    <row r="107" spans="2:23">
      <c r="B107" s="6" t="s">
        <v>1493</v>
      </c>
      <c r="G107" s="3">
        <f ca="1">2*'Battery Design'!G72*'Battery Design'!G116/10*'Battery Design'!G141/10</f>
        <v>39875.559635438782</v>
      </c>
      <c r="H107" s="3">
        <f ca="1">2*'Battery Design'!H72*'Battery Design'!H116/10*'Battery Design'!H141/10</f>
        <v>39875.559635438782</v>
      </c>
      <c r="I107" s="3">
        <f ca="1">2*'Battery Design'!I72*'Battery Design'!I116/10*'Battery Design'!I141/10</f>
        <v>39875.559635438782</v>
      </c>
      <c r="J107" s="3">
        <f ca="1">2*'Battery Design'!J72*'Battery Design'!J116/10*'Battery Design'!J141/10</f>
        <v>39875.559635438782</v>
      </c>
      <c r="K107" s="3">
        <f ca="1">2*'Battery Design'!K72*'Battery Design'!K116/10*'Battery Design'!K141/10</f>
        <v>39875.559635438782</v>
      </c>
      <c r="L107" s="3">
        <f ca="1">2*'Battery Design'!L72*'Battery Design'!L116/10*'Battery Design'!L141/10</f>
        <v>39875.559635438782</v>
      </c>
      <c r="M107" s="3">
        <f ca="1">2*'Battery Design'!M72*'Battery Design'!M116/10*'Battery Design'!M141/10</f>
        <v>39875.559635438782</v>
      </c>
      <c r="V107" s="88"/>
      <c r="W107" s="88"/>
    </row>
    <row r="108" spans="2:23">
      <c r="B108" s="256" t="s">
        <v>1543</v>
      </c>
      <c r="G108" s="15">
        <f t="shared" ref="G108:M108" ca="1" si="49">G38/G106/G107</f>
        <v>0.43490863413931985</v>
      </c>
      <c r="H108" s="15">
        <f t="shared" ca="1" si="49"/>
        <v>0.43490863413931985</v>
      </c>
      <c r="I108" s="15">
        <f t="shared" ca="1" si="49"/>
        <v>0.43490863413931985</v>
      </c>
      <c r="J108" s="15">
        <f t="shared" ca="1" si="49"/>
        <v>0.43490863413931985</v>
      </c>
      <c r="K108" s="15">
        <f t="shared" ca="1" si="49"/>
        <v>0.43490863413931985</v>
      </c>
      <c r="L108" s="15">
        <f t="shared" ca="1" si="49"/>
        <v>0.43490863413931985</v>
      </c>
      <c r="M108" s="15">
        <f t="shared" ca="1" si="49"/>
        <v>0.43490863413931985</v>
      </c>
      <c r="V108" s="72"/>
      <c r="W108" s="72"/>
    </row>
    <row r="109" spans="2:23">
      <c r="B109" s="256" t="s">
        <v>1544</v>
      </c>
      <c r="C109" s="256"/>
      <c r="D109" s="256"/>
      <c r="E109" s="256"/>
      <c r="G109" s="46">
        <f t="shared" ref="G109" ca="1" si="50">IF(G103="NA","NA",G80+G108)</f>
        <v>0.59998257223118501</v>
      </c>
      <c r="H109" s="46">
        <f t="shared" ref="H109:M109" ca="1" si="51">IF(H103="NA","NA",H80+H108)</f>
        <v>0.59998257223118501</v>
      </c>
      <c r="I109" s="46">
        <f t="shared" ca="1" si="51"/>
        <v>0.59998257223118501</v>
      </c>
      <c r="J109" s="46">
        <f t="shared" ca="1" si="51"/>
        <v>0.59998257223118501</v>
      </c>
      <c r="K109" s="46">
        <f t="shared" ca="1" si="51"/>
        <v>0.59998257223118501</v>
      </c>
      <c r="L109" s="46">
        <f t="shared" ca="1" si="51"/>
        <v>0.59998257223118501</v>
      </c>
      <c r="M109" s="46">
        <f t="shared" ca="1" si="51"/>
        <v>0.59998257223118501</v>
      </c>
      <c r="V109" s="105"/>
      <c r="W109" s="105"/>
    </row>
    <row r="110" spans="2:23" ht="14">
      <c r="B110" s="164" t="s">
        <v>1545</v>
      </c>
      <c r="G110" s="5">
        <f t="shared" ref="G110:M110" ca="1" si="52">IF(G103="NA","NA",MIN(G80+G108+G89+G90,G65))</f>
        <v>16.599982572231184</v>
      </c>
      <c r="H110" s="5">
        <f t="shared" ca="1" si="52"/>
        <v>16.599982572231184</v>
      </c>
      <c r="I110" s="5">
        <f t="shared" ca="1" si="52"/>
        <v>16.599982572231184</v>
      </c>
      <c r="J110" s="5">
        <f t="shared" ca="1" si="52"/>
        <v>16.599982572231184</v>
      </c>
      <c r="K110" s="5">
        <f t="shared" ca="1" si="52"/>
        <v>16.599982572231184</v>
      </c>
      <c r="L110" s="5">
        <f t="shared" ca="1" si="52"/>
        <v>16.599982572231184</v>
      </c>
      <c r="M110" s="5">
        <f t="shared" ca="1" si="52"/>
        <v>16.599982572231184</v>
      </c>
      <c r="V110" s="86"/>
      <c r="W110" s="86"/>
    </row>
    <row r="111" spans="2:23" ht="16">
      <c r="B111" s="13" t="s">
        <v>478</v>
      </c>
      <c r="G111" s="151" t="str">
        <f t="shared" ref="G111:M111" si="53">IF(G67="CA"," ","NA")</f>
        <v>NA</v>
      </c>
      <c r="H111" s="151" t="str">
        <f t="shared" si="53"/>
        <v>NA</v>
      </c>
      <c r="I111" s="151" t="str">
        <f t="shared" si="53"/>
        <v>NA</v>
      </c>
      <c r="J111" s="151" t="str">
        <f t="shared" si="53"/>
        <v>NA</v>
      </c>
      <c r="K111" s="151" t="str">
        <f t="shared" si="53"/>
        <v>NA</v>
      </c>
      <c r="L111" s="151" t="str">
        <f t="shared" si="53"/>
        <v>NA</v>
      </c>
      <c r="M111" s="151" t="str">
        <f t="shared" si="53"/>
        <v>NA</v>
      </c>
      <c r="V111" s="357"/>
      <c r="W111" s="74"/>
    </row>
    <row r="112" spans="2:23" ht="16">
      <c r="B112" s="4" t="s">
        <v>387</v>
      </c>
      <c r="G112" s="151"/>
      <c r="H112" s="151"/>
      <c r="I112" s="151"/>
      <c r="J112" s="151"/>
      <c r="K112" s="151"/>
      <c r="L112" s="151"/>
      <c r="M112" s="151"/>
      <c r="V112" s="357"/>
      <c r="W112" s="74"/>
    </row>
    <row r="113" spans="2:22">
      <c r="B113" s="161" t="s">
        <v>305</v>
      </c>
      <c r="F113" s="61"/>
      <c r="G113" s="15">
        <f ca="1">G38/'Battery Design'!G74</f>
        <v>1.5685106895050314</v>
      </c>
      <c r="H113" s="15">
        <f ca="1">H38/'Battery Design'!H74</f>
        <v>1.5685106895050314</v>
      </c>
      <c r="I113" s="15">
        <f ca="1">I38/'Battery Design'!I74</f>
        <v>1.5685106895050314</v>
      </c>
      <c r="J113" s="15">
        <f ca="1">J38/'Battery Design'!J74</f>
        <v>1.5685106895050314</v>
      </c>
      <c r="K113" s="15">
        <f ca="1">K38/'Battery Design'!K74</f>
        <v>1.5685106895050314</v>
      </c>
      <c r="L113" s="15">
        <f ca="1">L38/'Battery Design'!L74</f>
        <v>1.5685106895050314</v>
      </c>
      <c r="M113" s="15">
        <f ca="1">M38/'Battery Design'!M74</f>
        <v>1.5685106895050314</v>
      </c>
      <c r="V113" s="72"/>
    </row>
    <row r="114" spans="2:22">
      <c r="B114" s="6" t="s">
        <v>308</v>
      </c>
      <c r="F114" s="87"/>
      <c r="G114" s="15">
        <f ca="1">'Battery Design'!G35/10</f>
        <v>2.0018696318442375</v>
      </c>
      <c r="H114" s="15">
        <f ca="1">'Battery Design'!H35/10</f>
        <v>2.0018696318442375</v>
      </c>
      <c r="I114" s="15">
        <f ca="1">'Battery Design'!I35/10</f>
        <v>2.0018696318442375</v>
      </c>
      <c r="J114" s="15">
        <f ca="1">'Battery Design'!J35/10</f>
        <v>2.0018696318442375</v>
      </c>
      <c r="K114" s="15">
        <f ca="1">'Battery Design'!K35/10</f>
        <v>2.0018696318442375</v>
      </c>
      <c r="L114" s="15">
        <f ca="1">'Battery Design'!L35/10</f>
        <v>2.0018696318442375</v>
      </c>
      <c r="M114" s="15">
        <f ca="1">'Battery Design'!M35/10</f>
        <v>2.0018696318442375</v>
      </c>
      <c r="V114" s="72"/>
    </row>
    <row r="115" spans="2:22">
      <c r="B115" s="6" t="s">
        <v>309</v>
      </c>
      <c r="F115" s="128"/>
      <c r="G115" s="5">
        <f ca="1">'Battery Design'!G120/10</f>
        <v>7.931550351367866</v>
      </c>
      <c r="H115" s="5">
        <f ca="1">'Battery Design'!H120/10</f>
        <v>7.931550351367866</v>
      </c>
      <c r="I115" s="5">
        <f ca="1">'Battery Design'!I120/10</f>
        <v>7.931550351367866</v>
      </c>
      <c r="J115" s="5">
        <f ca="1">'Battery Design'!J120/10</f>
        <v>7.931550351367866</v>
      </c>
      <c r="K115" s="5">
        <f ca="1">'Battery Design'!K120/10</f>
        <v>7.931550351367866</v>
      </c>
      <c r="L115" s="5">
        <f ca="1">'Battery Design'!L120/10</f>
        <v>7.931550351367866</v>
      </c>
      <c r="M115" s="5">
        <f ca="1">'Battery Design'!M120/10</f>
        <v>7.931550351367866</v>
      </c>
      <c r="V115" s="86"/>
    </row>
    <row r="116" spans="2:22">
      <c r="B116" s="6" t="s">
        <v>342</v>
      </c>
      <c r="G116" s="112">
        <f t="shared" ref="G116:M116" ca="1" si="54">G56</f>
        <v>8.6067640208421815E-3</v>
      </c>
      <c r="H116" s="112">
        <f t="shared" ca="1" si="54"/>
        <v>8.6067640208421815E-3</v>
      </c>
      <c r="I116" s="112">
        <f t="shared" ca="1" si="54"/>
        <v>8.6067640208421815E-3</v>
      </c>
      <c r="J116" s="112">
        <f t="shared" ca="1" si="54"/>
        <v>8.6067640208421815E-3</v>
      </c>
      <c r="K116" s="112">
        <f t="shared" ca="1" si="54"/>
        <v>8.6067640208421815E-3</v>
      </c>
      <c r="L116" s="112">
        <f t="shared" ca="1" si="54"/>
        <v>8.6067640208421815E-3</v>
      </c>
      <c r="M116" s="112">
        <f t="shared" ca="1" si="54"/>
        <v>8.6067640208421815E-3</v>
      </c>
      <c r="V116" s="190"/>
    </row>
    <row r="117" spans="2:22">
      <c r="B117" s="853" t="s">
        <v>1546</v>
      </c>
      <c r="G117" s="15">
        <f t="shared" ref="G117:M117" ca="1" si="55">G70/2*G75/2/(G56*G71*G76)</f>
        <v>0.49576682089684831</v>
      </c>
      <c r="H117" s="15">
        <f t="shared" ca="1" si="55"/>
        <v>0.49576682089684831</v>
      </c>
      <c r="I117" s="15">
        <f t="shared" ca="1" si="55"/>
        <v>0.49576682089684831</v>
      </c>
      <c r="J117" s="15">
        <f t="shared" ca="1" si="55"/>
        <v>0.49576682089684831</v>
      </c>
      <c r="K117" s="15">
        <f t="shared" ca="1" si="55"/>
        <v>0.49576682089684831</v>
      </c>
      <c r="L117" s="15">
        <f t="shared" ca="1" si="55"/>
        <v>0.49576682089684831</v>
      </c>
      <c r="M117" s="15">
        <f t="shared" ca="1" si="55"/>
        <v>0.49576682089684831</v>
      </c>
      <c r="V117" s="72"/>
    </row>
    <row r="118" spans="2:22" ht="14">
      <c r="B118" s="164" t="s">
        <v>406</v>
      </c>
      <c r="G118" s="154" t="str">
        <f t="shared" ref="G118" si="56">G111</f>
        <v>NA</v>
      </c>
      <c r="H118" s="154" t="str">
        <f t="shared" ref="H118:M118" si="57">H111</f>
        <v>NA</v>
      </c>
      <c r="I118" s="154" t="str">
        <f t="shared" si="57"/>
        <v>NA</v>
      </c>
      <c r="J118" s="154" t="str">
        <f t="shared" si="57"/>
        <v>NA</v>
      </c>
      <c r="K118" s="154" t="str">
        <f t="shared" si="57"/>
        <v>NA</v>
      </c>
      <c r="L118" s="154" t="str">
        <f t="shared" si="57"/>
        <v>NA</v>
      </c>
      <c r="M118" s="154" t="str">
        <f t="shared" si="57"/>
        <v>NA</v>
      </c>
      <c r="V118" s="358"/>
    </row>
    <row r="119" spans="2:22">
      <c r="B119" s="161" t="s">
        <v>441</v>
      </c>
      <c r="G119" s="154"/>
      <c r="H119" s="154"/>
      <c r="I119" s="154"/>
      <c r="J119" s="154"/>
      <c r="K119" s="154"/>
      <c r="L119" s="154"/>
      <c r="M119" s="154"/>
    </row>
    <row r="120" spans="2:22">
      <c r="B120" s="753" t="s">
        <v>441</v>
      </c>
      <c r="G120" s="67">
        <v>1</v>
      </c>
      <c r="H120" s="67">
        <v>1</v>
      </c>
      <c r="I120" s="67">
        <v>1</v>
      </c>
      <c r="J120" s="67">
        <v>1</v>
      </c>
      <c r="K120" s="67">
        <v>1</v>
      </c>
      <c r="L120" s="67">
        <v>1</v>
      </c>
      <c r="M120" s="67">
        <v>1</v>
      </c>
    </row>
    <row r="121" spans="2:22">
      <c r="B121" s="853" t="s">
        <v>1539</v>
      </c>
      <c r="G121" s="153">
        <f t="shared" ref="G121:M121" si="58">1.2928/1000/298*273</f>
        <v>1.184343624161074E-3</v>
      </c>
      <c r="H121" s="153">
        <f t="shared" si="58"/>
        <v>1.184343624161074E-3</v>
      </c>
      <c r="I121" s="153">
        <f t="shared" si="58"/>
        <v>1.184343624161074E-3</v>
      </c>
      <c r="J121" s="153">
        <f t="shared" si="58"/>
        <v>1.184343624161074E-3</v>
      </c>
      <c r="K121" s="153">
        <f t="shared" si="58"/>
        <v>1.184343624161074E-3</v>
      </c>
      <c r="L121" s="153">
        <f t="shared" si="58"/>
        <v>1.184343624161074E-3</v>
      </c>
      <c r="M121" s="153">
        <f t="shared" si="58"/>
        <v>1.184343624161074E-3</v>
      </c>
    </row>
    <row r="122" spans="2:22" ht="14">
      <c r="B122" s="853" t="s">
        <v>1415</v>
      </c>
      <c r="G122" s="69">
        <v>1.7999999999999999E-2</v>
      </c>
      <c r="H122" s="69">
        <v>1.7999999999999999E-2</v>
      </c>
      <c r="I122" s="69">
        <v>1.7999999999999999E-2</v>
      </c>
      <c r="J122" s="69">
        <v>1.7999999999999999E-2</v>
      </c>
      <c r="K122" s="69">
        <v>1.7999999999999999E-2</v>
      </c>
      <c r="L122" s="69">
        <v>1.7999999999999999E-2</v>
      </c>
      <c r="M122" s="69">
        <v>1.7999999999999999E-2</v>
      </c>
    </row>
    <row r="123" spans="2:22" ht="14">
      <c r="B123" s="853" t="s">
        <v>1416</v>
      </c>
      <c r="G123" s="181">
        <f t="shared" ref="G123:M123" si="59">G58</f>
        <v>2.5999999999999998E-4</v>
      </c>
      <c r="H123" s="181">
        <f t="shared" si="59"/>
        <v>2.5999999999999998E-4</v>
      </c>
      <c r="I123" s="181">
        <f t="shared" si="59"/>
        <v>2.5999999999999998E-4</v>
      </c>
      <c r="J123" s="181">
        <f t="shared" si="59"/>
        <v>2.5999999999999998E-4</v>
      </c>
      <c r="K123" s="181">
        <f t="shared" si="59"/>
        <v>2.5999999999999998E-4</v>
      </c>
      <c r="L123" s="181">
        <f t="shared" si="59"/>
        <v>2.5999999999999998E-4</v>
      </c>
      <c r="M123" s="181">
        <f t="shared" si="59"/>
        <v>2.5999999999999998E-4</v>
      </c>
    </row>
    <row r="124" spans="2:22">
      <c r="B124" s="853" t="s">
        <v>1547</v>
      </c>
      <c r="G124" s="15">
        <f ca="1">'Battery Design'!G120/10</f>
        <v>7.931550351367866</v>
      </c>
      <c r="H124" s="15">
        <f ca="1">'Battery Design'!H120/10</f>
        <v>7.931550351367866</v>
      </c>
      <c r="I124" s="15">
        <f ca="1">'Battery Design'!I120/10</f>
        <v>7.931550351367866</v>
      </c>
      <c r="J124" s="15">
        <f ca="1">'Battery Design'!J120/10</f>
        <v>7.931550351367866</v>
      </c>
      <c r="K124" s="15">
        <f ca="1">'Battery Design'!K120/10</f>
        <v>7.931550351367866</v>
      </c>
      <c r="L124" s="15">
        <f ca="1">'Battery Design'!L120/10</f>
        <v>7.931550351367866</v>
      </c>
      <c r="M124" s="15">
        <f ca="1">'Battery Design'!M120/10</f>
        <v>7.931550351367866</v>
      </c>
    </row>
    <row r="125" spans="2:22">
      <c r="B125" s="6" t="s">
        <v>415</v>
      </c>
      <c r="G125" s="253">
        <v>0.4</v>
      </c>
      <c r="H125" s="253">
        <v>0.4</v>
      </c>
      <c r="I125" s="253">
        <v>0.4</v>
      </c>
      <c r="J125" s="253">
        <v>0.4</v>
      </c>
      <c r="K125" s="253">
        <v>0.4</v>
      </c>
      <c r="L125" s="253">
        <v>0.4</v>
      </c>
      <c r="M125" s="253">
        <v>0.4</v>
      </c>
    </row>
    <row r="126" spans="2:22">
      <c r="B126" s="6" t="s">
        <v>416</v>
      </c>
      <c r="G126" s="136">
        <f t="shared" ref="G126" ca="1" si="60">G128*10+2*G125</f>
        <v>2.1547949399502855</v>
      </c>
      <c r="H126" s="136">
        <f t="shared" ref="H126:M126" ca="1" si="61">H128*10+2*H125</f>
        <v>2.1547949399502855</v>
      </c>
      <c r="I126" s="136">
        <f t="shared" ca="1" si="61"/>
        <v>2.1547949399502855</v>
      </c>
      <c r="J126" s="136">
        <f t="shared" ca="1" si="61"/>
        <v>2.1547949399502855</v>
      </c>
      <c r="K126" s="136">
        <f t="shared" ca="1" si="61"/>
        <v>2.1547949399502855</v>
      </c>
      <c r="L126" s="136">
        <f t="shared" ca="1" si="61"/>
        <v>2.1547949399502855</v>
      </c>
      <c r="M126" s="136">
        <f t="shared" ca="1" si="61"/>
        <v>2.1547949399502855</v>
      </c>
    </row>
    <row r="127" spans="2:22">
      <c r="B127" s="6" t="s">
        <v>417</v>
      </c>
      <c r="G127" s="5">
        <f ca="1">G126+'Battery Design'!G35</f>
        <v>22.173491258392659</v>
      </c>
      <c r="H127" s="5">
        <f ca="1">H126+'Battery Design'!H35</f>
        <v>22.173491258392659</v>
      </c>
      <c r="I127" s="5">
        <f ca="1">I126+'Battery Design'!I35</f>
        <v>22.173491258392659</v>
      </c>
      <c r="J127" s="5">
        <f ca="1">J126+'Battery Design'!J35</f>
        <v>22.173491258392659</v>
      </c>
      <c r="K127" s="5">
        <f ca="1">K126+'Battery Design'!K35</f>
        <v>22.173491258392659</v>
      </c>
      <c r="L127" s="5">
        <f ca="1">L126+'Battery Design'!L35</f>
        <v>22.173491258392659</v>
      </c>
      <c r="M127" s="5">
        <f ca="1">M126+'Battery Design'!M35</f>
        <v>22.173491258392659</v>
      </c>
    </row>
    <row r="128" spans="2:22">
      <c r="B128" s="161" t="s">
        <v>615</v>
      </c>
      <c r="G128" s="156">
        <f ca="1">IF(Dashboard!$D56=0,0.2,IF(G153=G144*G145/100,G129,G129+G130*(G153-G144*G145/100)))</f>
        <v>0.13547949399502854</v>
      </c>
      <c r="H128" s="156">
        <f ca="1">IF(Dashboard!$D56=0,0.2,IF(H153=H144*H145/100,H129,H129+H130*(H153-H144*H145/100)))</f>
        <v>0.13547949399502854</v>
      </c>
      <c r="I128" s="156">
        <f ca="1">IF(Dashboard!$D56=0,0.2,IF(I153=I144*I145/100,I129,I129+I130*(I153-I144*I145/100)))</f>
        <v>0.13547949399502854</v>
      </c>
      <c r="J128" s="156">
        <f ca="1">IF(Dashboard!$D56=0,0.2,IF(J153=J144*J145/100,J129,J129+J130*(J153-J144*J145/100)))</f>
        <v>0.13547949399502854</v>
      </c>
      <c r="K128" s="156">
        <f ca="1">IF(Dashboard!$D56=0,0.2,IF(K153=K144*K145/100,K129,K129+K130*(K153-K144*K145/100)))</f>
        <v>0.13547949399502854</v>
      </c>
      <c r="L128" s="156">
        <f ca="1">IF(Dashboard!$D56=0,0.2,IF(L153=L144*L145/100,L129,L129+L130*(L153-L144*L145/100)))</f>
        <v>0.13547949399502854</v>
      </c>
      <c r="M128" s="156">
        <f ca="1">IF(Dashboard!$D56=0,0.2,IF(M153=M144*M145/100,M129,M129+M130*(M153-M144*M145/100)))</f>
        <v>0.13547949399502854</v>
      </c>
      <c r="O128" s="128"/>
    </row>
    <row r="129" spans="2:15">
      <c r="B129" s="161" t="s">
        <v>1418</v>
      </c>
      <c r="G129" s="156">
        <f t="shared" ref="G129" ca="1" si="62">G128</f>
        <v>0.13547949399502854</v>
      </c>
      <c r="H129" s="156">
        <f t="shared" ref="H129:M129" ca="1" si="63">H128</f>
        <v>0.13547949399502854</v>
      </c>
      <c r="I129" s="156">
        <f t="shared" ca="1" si="63"/>
        <v>0.13547949399502854</v>
      </c>
      <c r="J129" s="156">
        <f t="shared" ca="1" si="63"/>
        <v>0.13547949399502854</v>
      </c>
      <c r="K129" s="156">
        <f t="shared" ca="1" si="63"/>
        <v>0.13547949399502854</v>
      </c>
      <c r="L129" s="156">
        <f t="shared" ca="1" si="63"/>
        <v>0.13547949399502854</v>
      </c>
      <c r="M129" s="156">
        <f t="shared" ca="1" si="63"/>
        <v>0.13547949399502854</v>
      </c>
      <c r="O129" s="128"/>
    </row>
    <row r="130" spans="2:15">
      <c r="B130" s="161" t="s">
        <v>1419</v>
      </c>
      <c r="G130" s="250">
        <v>5</v>
      </c>
      <c r="H130" s="250">
        <v>5</v>
      </c>
      <c r="I130" s="250">
        <v>5</v>
      </c>
      <c r="J130" s="250">
        <v>5</v>
      </c>
      <c r="K130" s="250">
        <v>5</v>
      </c>
      <c r="L130" s="250">
        <v>5</v>
      </c>
      <c r="M130" s="250">
        <v>5</v>
      </c>
    </row>
    <row r="131" spans="2:15">
      <c r="B131" s="161" t="s">
        <v>438</v>
      </c>
      <c r="G131" s="293">
        <v>1</v>
      </c>
      <c r="H131" s="293">
        <v>1</v>
      </c>
      <c r="I131" s="293">
        <v>1</v>
      </c>
      <c r="J131" s="293">
        <v>1</v>
      </c>
      <c r="K131" s="293">
        <v>1</v>
      </c>
      <c r="L131" s="293">
        <v>1</v>
      </c>
      <c r="M131" s="293">
        <v>1</v>
      </c>
    </row>
    <row r="132" spans="2:15">
      <c r="B132" s="6" t="s">
        <v>388</v>
      </c>
      <c r="G132" s="15">
        <f t="shared" ref="G132" ca="1" si="64">(G135-(G134-1)*G133)/G134</f>
        <v>1.0312974239001893</v>
      </c>
      <c r="H132" s="15">
        <f t="shared" ref="H132:M132" ca="1" si="65">(H135-(H134-1)*H133)/H134</f>
        <v>1.0312974239001893</v>
      </c>
      <c r="I132" s="15">
        <f t="shared" ca="1" si="65"/>
        <v>1.0312974239001893</v>
      </c>
      <c r="J132" s="15">
        <f t="shared" ca="1" si="65"/>
        <v>1.0312974239001893</v>
      </c>
      <c r="K132" s="15">
        <f t="shared" ca="1" si="65"/>
        <v>1.0312974239001893</v>
      </c>
      <c r="L132" s="15">
        <f t="shared" ca="1" si="65"/>
        <v>1.0312974239001893</v>
      </c>
      <c r="M132" s="15">
        <f t="shared" ca="1" si="65"/>
        <v>1.0312974239001893</v>
      </c>
    </row>
    <row r="133" spans="2:15">
      <c r="B133" s="6" t="s">
        <v>389</v>
      </c>
      <c r="G133" s="187">
        <v>0.2</v>
      </c>
      <c r="H133" s="187">
        <v>0.2</v>
      </c>
      <c r="I133" s="187">
        <v>0.2</v>
      </c>
      <c r="J133" s="187">
        <v>0.2</v>
      </c>
      <c r="K133" s="187">
        <v>0.2</v>
      </c>
      <c r="L133" s="187">
        <v>0.2</v>
      </c>
      <c r="M133" s="187">
        <v>0.2</v>
      </c>
    </row>
    <row r="134" spans="2:15">
      <c r="B134" s="6" t="s">
        <v>400</v>
      </c>
      <c r="G134" s="3">
        <f t="shared" ref="G134" ca="1" si="66">ROUNDDOWN((G135+G133)/(G131+G133),0)</f>
        <v>19</v>
      </c>
      <c r="H134" s="3">
        <f t="shared" ref="H134:M134" ca="1" si="67">ROUNDDOWN((H135+H133)/(H131+H133),0)</f>
        <v>19</v>
      </c>
      <c r="I134" s="3">
        <f t="shared" ca="1" si="67"/>
        <v>19</v>
      </c>
      <c r="J134" s="3">
        <f t="shared" ca="1" si="67"/>
        <v>19</v>
      </c>
      <c r="K134" s="3">
        <f t="shared" ca="1" si="67"/>
        <v>19</v>
      </c>
      <c r="L134" s="3">
        <f t="shared" ca="1" si="67"/>
        <v>19</v>
      </c>
      <c r="M134" s="3">
        <f t="shared" ca="1" si="67"/>
        <v>19</v>
      </c>
    </row>
    <row r="135" spans="2:15">
      <c r="B135" s="6" t="s">
        <v>398</v>
      </c>
      <c r="G135" s="5">
        <f ca="1">'Battery Design'!G116/10</f>
        <v>23.194651054103598</v>
      </c>
      <c r="H135" s="5">
        <f ca="1">'Battery Design'!H116/10</f>
        <v>23.194651054103598</v>
      </c>
      <c r="I135" s="5">
        <f ca="1">'Battery Design'!I116/10</f>
        <v>23.194651054103598</v>
      </c>
      <c r="J135" s="5">
        <f ca="1">'Battery Design'!J116/10</f>
        <v>23.194651054103598</v>
      </c>
      <c r="K135" s="5">
        <f ca="1">'Battery Design'!K116/10</f>
        <v>23.194651054103598</v>
      </c>
      <c r="L135" s="5">
        <f ca="1">'Battery Design'!L116/10</f>
        <v>23.194651054103598</v>
      </c>
      <c r="M135" s="5">
        <f ca="1">'Battery Design'!M116/10</f>
        <v>23.194651054103598</v>
      </c>
    </row>
    <row r="136" spans="2:15">
      <c r="B136" s="161" t="s">
        <v>444</v>
      </c>
      <c r="G136" s="5">
        <f ca="1">'Battery Design'!G134/10</f>
        <v>23.194651054103598</v>
      </c>
      <c r="H136" s="5">
        <f ca="1">'Battery Design'!H134/10</f>
        <v>23.194651054103598</v>
      </c>
      <c r="I136" s="5">
        <f ca="1">'Battery Design'!I134/10</f>
        <v>23.194651054103598</v>
      </c>
      <c r="J136" s="5">
        <f ca="1">'Battery Design'!J134/10</f>
        <v>23.194651054103598</v>
      </c>
      <c r="K136" s="5">
        <f ca="1">'Battery Design'!K134/10</f>
        <v>23.194651054103598</v>
      </c>
      <c r="L136" s="5">
        <f ca="1">'Battery Design'!L134/10</f>
        <v>23.194651054103598</v>
      </c>
      <c r="M136" s="5">
        <f ca="1">'Battery Design'!M134/10</f>
        <v>23.194651054103598</v>
      </c>
    </row>
    <row r="137" spans="2:15">
      <c r="B137" s="753" t="s">
        <v>469</v>
      </c>
    </row>
    <row r="138" spans="2:15">
      <c r="B138" s="161" t="s">
        <v>1548</v>
      </c>
      <c r="G138" s="187">
        <f t="shared" ref="G138:M138" si="68">IF(G67="EG-W",15,IF(G67="CoolA",15,25))</f>
        <v>15</v>
      </c>
      <c r="H138" s="187">
        <f t="shared" si="68"/>
        <v>15</v>
      </c>
      <c r="I138" s="187">
        <f t="shared" si="68"/>
        <v>15</v>
      </c>
      <c r="J138" s="187">
        <f t="shared" si="68"/>
        <v>15</v>
      </c>
      <c r="K138" s="187">
        <f t="shared" si="68"/>
        <v>15</v>
      </c>
      <c r="L138" s="187">
        <f t="shared" si="68"/>
        <v>15</v>
      </c>
      <c r="M138" s="187">
        <f t="shared" si="68"/>
        <v>15</v>
      </c>
    </row>
    <row r="139" spans="2:15" ht="15">
      <c r="B139" s="161" t="s">
        <v>1420</v>
      </c>
      <c r="G139" s="145"/>
      <c r="H139" s="145"/>
      <c r="I139" s="145"/>
      <c r="J139" s="145"/>
      <c r="K139" s="145"/>
      <c r="L139" s="145"/>
      <c r="M139" s="145"/>
    </row>
    <row r="140" spans="2:15">
      <c r="B140" s="161" t="s">
        <v>1549</v>
      </c>
      <c r="G140" s="188">
        <f t="shared" ref="G140" si="69">IF(G139&gt;0,G139,G138)</f>
        <v>15</v>
      </c>
      <c r="H140" s="188">
        <f t="shared" ref="H140:M140" si="70">IF(H139&gt;0,H139,H138)</f>
        <v>15</v>
      </c>
      <c r="I140" s="188">
        <f t="shared" si="70"/>
        <v>15</v>
      </c>
      <c r="J140" s="188">
        <f t="shared" si="70"/>
        <v>15</v>
      </c>
      <c r="K140" s="188">
        <f t="shared" si="70"/>
        <v>15</v>
      </c>
      <c r="L140" s="188">
        <f t="shared" si="70"/>
        <v>15</v>
      </c>
      <c r="M140" s="188">
        <f t="shared" si="70"/>
        <v>15</v>
      </c>
    </row>
    <row r="141" spans="2:15">
      <c r="B141" s="853" t="s">
        <v>1550</v>
      </c>
      <c r="G141" s="253">
        <v>5</v>
      </c>
      <c r="H141" s="253">
        <v>5</v>
      </c>
      <c r="I141" s="253">
        <v>5</v>
      </c>
      <c r="J141" s="253">
        <v>5</v>
      </c>
      <c r="K141" s="253">
        <v>5</v>
      </c>
      <c r="L141" s="253">
        <v>5</v>
      </c>
      <c r="M141" s="253">
        <v>5</v>
      </c>
    </row>
    <row r="142" spans="2:15">
      <c r="B142" s="6" t="s">
        <v>402</v>
      </c>
      <c r="F142" s="72"/>
      <c r="G142" s="155">
        <f t="shared" ref="G142:M142" ca="1" si="71">(G38+G162)/G120/G121/G141</f>
        <v>159981.99168714549</v>
      </c>
      <c r="H142" s="155">
        <f t="shared" ca="1" si="71"/>
        <v>159981.99168714549</v>
      </c>
      <c r="I142" s="155">
        <f t="shared" ca="1" si="71"/>
        <v>159981.99168714549</v>
      </c>
      <c r="J142" s="155">
        <f t="shared" ca="1" si="71"/>
        <v>159981.99168714549</v>
      </c>
      <c r="K142" s="155">
        <f t="shared" ca="1" si="71"/>
        <v>159981.99168714549</v>
      </c>
      <c r="L142" s="155">
        <f t="shared" ca="1" si="71"/>
        <v>159981.99168714549</v>
      </c>
      <c r="M142" s="155">
        <f t="shared" ca="1" si="71"/>
        <v>159981.99168714549</v>
      </c>
    </row>
    <row r="143" spans="2:15">
      <c r="B143" s="6" t="s">
        <v>391</v>
      </c>
      <c r="F143" s="88"/>
      <c r="G143" s="3">
        <f ca="1">G142/G134/'Battery Design'!G74</f>
        <v>21.050262064098092</v>
      </c>
      <c r="H143" s="3">
        <f ca="1">H142/H134/'Battery Design'!H74</f>
        <v>21.050262064098092</v>
      </c>
      <c r="I143" s="3">
        <f ca="1">I142/I134/'Battery Design'!I74</f>
        <v>21.050262064098092</v>
      </c>
      <c r="J143" s="3">
        <f ca="1">J142/J134/'Battery Design'!J74</f>
        <v>21.050262064098092</v>
      </c>
      <c r="K143" s="3">
        <f ca="1">K142/K134/'Battery Design'!K74</f>
        <v>21.050262064098092</v>
      </c>
      <c r="L143" s="3">
        <f ca="1">L142/L134/'Battery Design'!L74</f>
        <v>21.050262064098092</v>
      </c>
      <c r="M143" s="3">
        <f ca="1">M142/M134/'Battery Design'!M74</f>
        <v>21.050262064098092</v>
      </c>
    </row>
    <row r="144" spans="2:15">
      <c r="B144" s="6" t="s">
        <v>404</v>
      </c>
      <c r="F144" s="105"/>
      <c r="G144" s="187">
        <v>0.02</v>
      </c>
      <c r="H144" s="187">
        <v>0.02</v>
      </c>
      <c r="I144" s="187">
        <v>0.02</v>
      </c>
      <c r="J144" s="187">
        <v>0.02</v>
      </c>
      <c r="K144" s="187">
        <v>0.02</v>
      </c>
      <c r="L144" s="187">
        <v>0.02</v>
      </c>
      <c r="M144" s="187">
        <v>0.02</v>
      </c>
    </row>
    <row r="145" spans="2:13">
      <c r="B145" s="6" t="s">
        <v>405</v>
      </c>
      <c r="F145" s="105"/>
      <c r="G145" s="250">
        <f>90</f>
        <v>90</v>
      </c>
      <c r="H145" s="250">
        <f>90</f>
        <v>90</v>
      </c>
      <c r="I145" s="250">
        <f>90</f>
        <v>90</v>
      </c>
      <c r="J145" s="250">
        <f>90</f>
        <v>90</v>
      </c>
      <c r="K145" s="250">
        <f>90</f>
        <v>90</v>
      </c>
      <c r="L145" s="250">
        <f>90</f>
        <v>90</v>
      </c>
      <c r="M145" s="250">
        <f>90</f>
        <v>90</v>
      </c>
    </row>
    <row r="146" spans="2:13">
      <c r="B146" s="6" t="s">
        <v>1487</v>
      </c>
      <c r="F146" s="72"/>
      <c r="G146" s="15">
        <f t="shared" ref="G146" ca="1" si="72">G143*G121/G149</f>
        <v>0.17843405062034698</v>
      </c>
      <c r="H146" s="15">
        <f t="shared" ref="H146:M146" ca="1" si="73">H143*H121/H149</f>
        <v>0.17843405062034698</v>
      </c>
      <c r="I146" s="15">
        <f t="shared" ca="1" si="73"/>
        <v>0.17843405062034698</v>
      </c>
      <c r="J146" s="15">
        <f t="shared" ca="1" si="73"/>
        <v>0.17843405062034698</v>
      </c>
      <c r="K146" s="15">
        <f t="shared" ca="1" si="73"/>
        <v>0.17843405062034698</v>
      </c>
      <c r="L146" s="15">
        <f t="shared" ca="1" si="73"/>
        <v>0.17843405062034698</v>
      </c>
      <c r="M146" s="15">
        <f t="shared" ca="1" si="73"/>
        <v>0.17843405062034698</v>
      </c>
    </row>
    <row r="147" spans="2:13">
      <c r="B147" s="161" t="s">
        <v>439</v>
      </c>
      <c r="F147" s="72"/>
      <c r="G147" s="46">
        <f t="shared" ref="G147" ca="1" si="74">4*G128*G132/(2*(G128+G132))</f>
        <v>0.23949677269999198</v>
      </c>
      <c r="H147" s="46">
        <f t="shared" ref="H147:M147" ca="1" si="75">4*H128*H132/(2*(H128+H132))</f>
        <v>0.23949677269999198</v>
      </c>
      <c r="I147" s="46">
        <f t="shared" ca="1" si="75"/>
        <v>0.23949677269999198</v>
      </c>
      <c r="J147" s="46">
        <f t="shared" ca="1" si="75"/>
        <v>0.23949677269999198</v>
      </c>
      <c r="K147" s="46">
        <f t="shared" ca="1" si="75"/>
        <v>0.23949677269999198</v>
      </c>
      <c r="L147" s="46">
        <f t="shared" ca="1" si="75"/>
        <v>0.23949677269999198</v>
      </c>
      <c r="M147" s="46">
        <f t="shared" ca="1" si="75"/>
        <v>0.23949677269999198</v>
      </c>
    </row>
    <row r="148" spans="2:13">
      <c r="B148" s="6" t="s">
        <v>390</v>
      </c>
      <c r="F148" s="72"/>
      <c r="G148" s="46">
        <f t="shared" ref="G148" ca="1" si="76">G113/G134</f>
        <v>8.2553194184475334E-2</v>
      </c>
      <c r="H148" s="46">
        <f t="shared" ref="H148:M148" ca="1" si="77">H113/H134</f>
        <v>8.2553194184475334E-2</v>
      </c>
      <c r="I148" s="46">
        <f t="shared" ca="1" si="77"/>
        <v>8.2553194184475334E-2</v>
      </c>
      <c r="J148" s="46">
        <f t="shared" ca="1" si="77"/>
        <v>8.2553194184475334E-2</v>
      </c>
      <c r="K148" s="46">
        <f t="shared" ca="1" si="77"/>
        <v>8.2553194184475334E-2</v>
      </c>
      <c r="L148" s="46">
        <f t="shared" ca="1" si="77"/>
        <v>8.2553194184475334E-2</v>
      </c>
      <c r="M148" s="46">
        <f t="shared" ca="1" si="77"/>
        <v>8.2553194184475334E-2</v>
      </c>
    </row>
    <row r="149" spans="2:13">
      <c r="B149" s="6" t="s">
        <v>1488</v>
      </c>
      <c r="F149" s="156"/>
      <c r="G149" s="15">
        <f t="shared" ref="G149" ca="1" si="78">G132*G128</f>
        <v>0.13971965314837409</v>
      </c>
      <c r="H149" s="15">
        <f t="shared" ref="H149:M149" ca="1" si="79">H132*H128</f>
        <v>0.13971965314837409</v>
      </c>
      <c r="I149" s="15">
        <f t="shared" ca="1" si="79"/>
        <v>0.13971965314837409</v>
      </c>
      <c r="J149" s="15">
        <f t="shared" ca="1" si="79"/>
        <v>0.13971965314837409</v>
      </c>
      <c r="K149" s="15">
        <f t="shared" ca="1" si="79"/>
        <v>0.13971965314837409</v>
      </c>
      <c r="L149" s="15">
        <f t="shared" ca="1" si="79"/>
        <v>0.13971965314837409</v>
      </c>
      <c r="M149" s="15">
        <f t="shared" ca="1" si="79"/>
        <v>0.13971965314837409</v>
      </c>
    </row>
    <row r="150" spans="2:13" ht="15">
      <c r="B150" s="161" t="s">
        <v>479</v>
      </c>
      <c r="F150" s="86"/>
      <c r="G150" s="3">
        <f t="shared" ref="G150" ca="1" si="80">G143/G149</f>
        <v>150.66070942606726</v>
      </c>
      <c r="H150" s="3">
        <f t="shared" ref="H150:M150" ca="1" si="81">H143/H149</f>
        <v>150.66070942606726</v>
      </c>
      <c r="I150" s="3">
        <f t="shared" ca="1" si="81"/>
        <v>150.66070942606726</v>
      </c>
      <c r="J150" s="3">
        <f t="shared" ca="1" si="81"/>
        <v>150.66070942606726</v>
      </c>
      <c r="K150" s="3">
        <f t="shared" ca="1" si="81"/>
        <v>150.66070942606726</v>
      </c>
      <c r="L150" s="3">
        <f t="shared" ca="1" si="81"/>
        <v>150.66070942606726</v>
      </c>
      <c r="M150" s="3">
        <f t="shared" ca="1" si="81"/>
        <v>150.66070942606726</v>
      </c>
    </row>
    <row r="151" spans="2:13">
      <c r="B151" s="6" t="s">
        <v>399</v>
      </c>
      <c r="F151" s="88"/>
      <c r="G151" s="15">
        <f t="shared" ref="G151" ca="1" si="82">G124</f>
        <v>7.931550351367866</v>
      </c>
      <c r="H151" s="15">
        <f t="shared" ref="H151:M151" ca="1" si="83">H124</f>
        <v>7.931550351367866</v>
      </c>
      <c r="I151" s="15">
        <f t="shared" ca="1" si="83"/>
        <v>7.931550351367866</v>
      </c>
      <c r="J151" s="15">
        <f t="shared" ca="1" si="83"/>
        <v>7.931550351367866</v>
      </c>
      <c r="K151" s="15">
        <f t="shared" ca="1" si="83"/>
        <v>7.931550351367866</v>
      </c>
      <c r="L151" s="15">
        <f t="shared" ca="1" si="83"/>
        <v>7.931550351367866</v>
      </c>
      <c r="M151" s="15">
        <f t="shared" ca="1" si="83"/>
        <v>7.931550351367866</v>
      </c>
    </row>
    <row r="152" spans="2:13">
      <c r="B152" s="6" t="s">
        <v>297</v>
      </c>
      <c r="F152" s="88"/>
      <c r="G152" s="3">
        <f t="shared" ref="G152" ca="1" si="84">G147*G150*G121/G122</f>
        <v>2.3741321812977834</v>
      </c>
      <c r="H152" s="3">
        <f t="shared" ref="H152:M152" ca="1" si="85">H147*H150*H121/H122</f>
        <v>2.3741321812977834</v>
      </c>
      <c r="I152" s="3">
        <f t="shared" ca="1" si="85"/>
        <v>2.3741321812977834</v>
      </c>
      <c r="J152" s="3">
        <f t="shared" ca="1" si="85"/>
        <v>2.3741321812977834</v>
      </c>
      <c r="K152" s="3">
        <f t="shared" ca="1" si="85"/>
        <v>2.3741321812977834</v>
      </c>
      <c r="L152" s="3">
        <f t="shared" ca="1" si="85"/>
        <v>2.3741321812977834</v>
      </c>
      <c r="M152" s="3">
        <f t="shared" ca="1" si="85"/>
        <v>2.3741321812977834</v>
      </c>
    </row>
    <row r="153" spans="2:13">
      <c r="B153" s="161" t="s">
        <v>452</v>
      </c>
      <c r="F153" s="105"/>
      <c r="G153" s="123">
        <f t="shared" ref="G153" ca="1" si="86">48*G122*G146*G151/(G121*G147^2)/1000000</f>
        <v>1.799999999999995E-2</v>
      </c>
      <c r="H153" s="123">
        <f t="shared" ref="H153:M153" ca="1" si="87">48*H122*H146*H151/(H121*H147^2)/1000000</f>
        <v>1.799999999999995E-2</v>
      </c>
      <c r="I153" s="123">
        <f t="shared" ca="1" si="87"/>
        <v>1.799999999999995E-2</v>
      </c>
      <c r="J153" s="123">
        <f t="shared" ca="1" si="87"/>
        <v>1.799999999999995E-2</v>
      </c>
      <c r="K153" s="123">
        <f t="shared" ca="1" si="87"/>
        <v>1.799999999999995E-2</v>
      </c>
      <c r="L153" s="123">
        <f t="shared" ca="1" si="87"/>
        <v>1.799999999999995E-2</v>
      </c>
      <c r="M153" s="123">
        <f t="shared" ca="1" si="87"/>
        <v>1.799999999999995E-2</v>
      </c>
    </row>
    <row r="154" spans="2:13">
      <c r="B154" s="6" t="s">
        <v>394</v>
      </c>
      <c r="F154" s="105"/>
      <c r="G154" s="157">
        <f t="shared" ref="G154" si="88">G144*(100-G145)/100</f>
        <v>2E-3</v>
      </c>
      <c r="H154" s="157">
        <f t="shared" ref="H154:M154" si="89">H144*(100-H145)/100</f>
        <v>2E-3</v>
      </c>
      <c r="I154" s="157">
        <f t="shared" si="89"/>
        <v>2E-3</v>
      </c>
      <c r="J154" s="157">
        <f t="shared" si="89"/>
        <v>2E-3</v>
      </c>
      <c r="K154" s="157">
        <f t="shared" si="89"/>
        <v>2E-3</v>
      </c>
      <c r="L154" s="157">
        <f t="shared" si="89"/>
        <v>2E-3</v>
      </c>
      <c r="M154" s="157">
        <f t="shared" si="89"/>
        <v>2E-3</v>
      </c>
    </row>
    <row r="155" spans="2:13">
      <c r="B155" s="6" t="s">
        <v>1489</v>
      </c>
      <c r="F155" s="105"/>
      <c r="G155" s="156">
        <f t="shared" ref="G155" ca="1" si="90">G142*G121/G158/G159</f>
        <v>0.30033925256005989</v>
      </c>
      <c r="H155" s="156">
        <f t="shared" ref="H155:M155" ca="1" si="91">H142*H121/H158/H159</f>
        <v>0.30033925256005989</v>
      </c>
      <c r="I155" s="156">
        <f t="shared" ca="1" si="91"/>
        <v>0.30033925256005989</v>
      </c>
      <c r="J155" s="156">
        <f t="shared" ca="1" si="91"/>
        <v>0.30033925256005989</v>
      </c>
      <c r="K155" s="156">
        <f t="shared" ca="1" si="91"/>
        <v>0.30033925256005989</v>
      </c>
      <c r="L155" s="156">
        <f t="shared" ca="1" si="91"/>
        <v>0.30033925256005989</v>
      </c>
      <c r="M155" s="156">
        <f t="shared" ca="1" si="91"/>
        <v>0.30033925256005989</v>
      </c>
    </row>
    <row r="156" spans="2:13" ht="15">
      <c r="B156" s="161" t="s">
        <v>480</v>
      </c>
      <c r="F156" s="105"/>
      <c r="G156" s="88">
        <f t="shared" ref="G156" ca="1" si="92">G155/G121</f>
        <v>253.59131119805221</v>
      </c>
      <c r="H156" s="88">
        <f t="shared" ref="H156:M156" ca="1" si="93">H155/H121</f>
        <v>253.59131119805221</v>
      </c>
      <c r="I156" s="88">
        <f t="shared" ca="1" si="93"/>
        <v>253.59131119805221</v>
      </c>
      <c r="J156" s="88">
        <f t="shared" ca="1" si="93"/>
        <v>253.59131119805221</v>
      </c>
      <c r="K156" s="88">
        <f t="shared" ca="1" si="93"/>
        <v>253.59131119805221</v>
      </c>
      <c r="L156" s="88">
        <f t="shared" ca="1" si="93"/>
        <v>253.59131119805221</v>
      </c>
      <c r="M156" s="88">
        <f t="shared" ca="1" si="93"/>
        <v>253.59131119805221</v>
      </c>
    </row>
    <row r="157" spans="2:13">
      <c r="B157" s="161" t="s">
        <v>481</v>
      </c>
      <c r="F157" s="105"/>
      <c r="G157" s="190">
        <f t="shared" ref="G157" ca="1" si="94">2*(G156^2-G150^2)/2*G121/1000000</f>
        <v>4.9280424208720278E-5</v>
      </c>
      <c r="H157" s="190">
        <f t="shared" ref="H157:M157" ca="1" si="95">2*(H156^2-H150^2)/2*H121/1000000</f>
        <v>4.9280424208720278E-5</v>
      </c>
      <c r="I157" s="190">
        <f t="shared" ca="1" si="95"/>
        <v>4.9280424208720278E-5</v>
      </c>
      <c r="J157" s="190">
        <f t="shared" ca="1" si="95"/>
        <v>4.9280424208720278E-5</v>
      </c>
      <c r="K157" s="190">
        <f t="shared" ca="1" si="95"/>
        <v>4.9280424208720278E-5</v>
      </c>
      <c r="L157" s="190">
        <f t="shared" ca="1" si="95"/>
        <v>4.9280424208720278E-5</v>
      </c>
      <c r="M157" s="190">
        <f t="shared" ca="1" si="95"/>
        <v>4.9280424208720278E-5</v>
      </c>
    </row>
    <row r="158" spans="2:13">
      <c r="B158" s="6" t="s">
        <v>395</v>
      </c>
      <c r="F158" s="105"/>
      <c r="G158" s="86">
        <f ca="1">'Battery Design'!G70*'Battery Design'!G141/10</f>
        <v>214.8963113436449</v>
      </c>
      <c r="H158" s="86">
        <f ca="1">'Battery Design'!H70*'Battery Design'!H141/10</f>
        <v>214.8963113436449</v>
      </c>
      <c r="I158" s="86">
        <f ca="1">'Battery Design'!I70*'Battery Design'!I141/10</f>
        <v>214.8963113436449</v>
      </c>
      <c r="J158" s="86">
        <f ca="1">'Battery Design'!J70*'Battery Design'!J141/10</f>
        <v>214.8963113436449</v>
      </c>
      <c r="K158" s="86">
        <f ca="1">'Battery Design'!K70*'Battery Design'!K141/10</f>
        <v>214.8963113436449</v>
      </c>
      <c r="L158" s="86">
        <f ca="1">'Battery Design'!L70*'Battery Design'!L141/10</f>
        <v>214.8963113436449</v>
      </c>
      <c r="M158" s="86">
        <f ca="1">'Battery Design'!M70*'Battery Design'!M141/10</f>
        <v>214.8963113436449</v>
      </c>
    </row>
    <row r="159" spans="2:13">
      <c r="B159" s="6" t="s">
        <v>401</v>
      </c>
      <c r="F159" s="105"/>
      <c r="G159" s="72">
        <f ca="1">IF(Dashboard!$D56=0,10,(48/1.8^2/1000000*G122*G142*G160/G158/G154)^(1/3))</f>
        <v>2.9356736114514952</v>
      </c>
      <c r="H159" s="72">
        <f ca="1">IF(Dashboard!$D56=0,10,(48/1.8^2/1000000*H122*H142*H160/H158/H154)^(1/3))</f>
        <v>2.9356736114514952</v>
      </c>
      <c r="I159" s="72">
        <f ca="1">IF(Dashboard!$D56=0,10,(48/1.8^2/1000000*I122*I142*I160/I158/I154)^(1/3))</f>
        <v>2.9356736114514952</v>
      </c>
      <c r="J159" s="72">
        <f ca="1">IF(Dashboard!$D56=0,10,(48/1.8^2/1000000*J122*J142*J160/J158/J154)^(1/3))</f>
        <v>2.9356736114514952</v>
      </c>
      <c r="K159" s="72">
        <f ca="1">IF(Dashboard!$D56=0,10,(48/1.8^2/1000000*K122*K142*K160/K158/K154)^(1/3))</f>
        <v>2.9356736114514952</v>
      </c>
      <c r="L159" s="72">
        <f ca="1">IF(Dashboard!$D56=0,10,(48/1.8^2/1000000*L122*L142*L160/L158/L154)^(1/3))</f>
        <v>2.9356736114514952</v>
      </c>
      <c r="M159" s="72">
        <f ca="1">IF(Dashboard!$D56=0,10,(48/1.8^2/1000000*M122*M142*M160/M158/M154)^(1/3))</f>
        <v>2.9356736114514952</v>
      </c>
    </row>
    <row r="160" spans="2:13">
      <c r="B160" s="161" t="s">
        <v>426</v>
      </c>
      <c r="F160" s="105"/>
      <c r="G160" s="88">
        <f ca="1">'Battery Design'!G158/10+2*'Battery Design'!G160/10+45*G159</f>
        <v>254.88391673173169</v>
      </c>
      <c r="H160" s="88">
        <f ca="1">'Battery Design'!H158/10+2*'Battery Design'!H160/10+45*H159</f>
        <v>254.88391673173169</v>
      </c>
      <c r="I160" s="88">
        <f ca="1">'Battery Design'!I158/10+2*'Battery Design'!I160/10+45*I159</f>
        <v>254.88391673173169</v>
      </c>
      <c r="J160" s="88">
        <f ca="1">'Battery Design'!J158/10+2*'Battery Design'!J160/10+45*J159</f>
        <v>254.88391673173169</v>
      </c>
      <c r="K160" s="88">
        <f ca="1">'Battery Design'!K158/10+2*'Battery Design'!K160/10+45*K159</f>
        <v>254.88391673173169</v>
      </c>
      <c r="L160" s="88">
        <f ca="1">'Battery Design'!L158/10+2*'Battery Design'!L160/10+45*L159</f>
        <v>254.88391673173169</v>
      </c>
      <c r="M160" s="88">
        <f ca="1">'Battery Design'!M158/10+2*'Battery Design'!M160/10+45*M159</f>
        <v>254.88391673173169</v>
      </c>
    </row>
    <row r="161" spans="2:16">
      <c r="B161" s="6" t="s">
        <v>403</v>
      </c>
      <c r="F161" s="105"/>
      <c r="G161" s="86">
        <f t="shared" ref="G161" ca="1" si="96">1.8*G142/(G158*G159)*G121/G122</f>
        <v>30.033925256005993</v>
      </c>
      <c r="H161" s="86">
        <f t="shared" ref="H161:M161" ca="1" si="97">1.8*H142/(H158*H159)*H121/H122</f>
        <v>30.033925256005993</v>
      </c>
      <c r="I161" s="86">
        <f t="shared" ca="1" si="97"/>
        <v>30.033925256005993</v>
      </c>
      <c r="J161" s="86">
        <f t="shared" ca="1" si="97"/>
        <v>30.033925256005993</v>
      </c>
      <c r="K161" s="86">
        <f t="shared" ca="1" si="97"/>
        <v>30.033925256005993</v>
      </c>
      <c r="L161" s="86">
        <f t="shared" ca="1" si="97"/>
        <v>30.033925256005993</v>
      </c>
      <c r="M161" s="86">
        <f t="shared" ca="1" si="97"/>
        <v>30.033925256005993</v>
      </c>
    </row>
    <row r="162" spans="2:16">
      <c r="B162" s="161" t="s">
        <v>450</v>
      </c>
      <c r="G162" s="5">
        <f ca="1">IF(Dashboard!$D56=0,50,G144/10*G142)</f>
        <v>319.96398337429099</v>
      </c>
      <c r="H162" s="5">
        <f ca="1">IF(Dashboard!$D56=0,50,H144/10*H142)</f>
        <v>319.96398337429099</v>
      </c>
      <c r="I162" s="5">
        <f ca="1">IF(Dashboard!$D56=0,50,I144/10*I142)</f>
        <v>319.96398337429099</v>
      </c>
      <c r="J162" s="5">
        <f ca="1">IF(Dashboard!$D56=0,50,J144/10*J142)</f>
        <v>319.96398337429099</v>
      </c>
      <c r="K162" s="5">
        <f ca="1">IF(Dashboard!$D56=0,50,K144/10*K142)</f>
        <v>319.96398337429099</v>
      </c>
      <c r="L162" s="5">
        <f ca="1">IF(Dashboard!$D56=0,50,L144/10*L142)</f>
        <v>319.96398337429099</v>
      </c>
      <c r="M162" s="5">
        <f ca="1">IF(Dashboard!$D56=0,50,M144/10*M142)</f>
        <v>319.96398337429099</v>
      </c>
    </row>
    <row r="163" spans="2:16">
      <c r="B163" s="6" t="s">
        <v>411</v>
      </c>
      <c r="F163" s="88"/>
      <c r="G163" s="158">
        <v>50</v>
      </c>
      <c r="H163" s="158">
        <v>50</v>
      </c>
      <c r="I163" s="158">
        <v>50</v>
      </c>
      <c r="J163" s="158">
        <v>50</v>
      </c>
      <c r="K163" s="158">
        <v>50</v>
      </c>
      <c r="L163" s="158">
        <v>50</v>
      </c>
      <c r="M163" s="158">
        <v>50</v>
      </c>
    </row>
    <row r="164" spans="2:16">
      <c r="B164" s="6" t="s">
        <v>412</v>
      </c>
      <c r="F164" s="3"/>
      <c r="G164" s="3">
        <f t="shared" ref="G164" ca="1" si="98">G162/G163*100</f>
        <v>639.92796674858198</v>
      </c>
      <c r="H164" s="3">
        <f t="shared" ref="H164:M164" ca="1" si="99">H162/H163*100</f>
        <v>639.92796674858198</v>
      </c>
      <c r="I164" s="3">
        <f t="shared" ca="1" si="99"/>
        <v>639.92796674858198</v>
      </c>
      <c r="J164" s="3">
        <f t="shared" ca="1" si="99"/>
        <v>639.92796674858198</v>
      </c>
      <c r="K164" s="3">
        <f t="shared" ca="1" si="99"/>
        <v>639.92796674858198</v>
      </c>
      <c r="L164" s="3">
        <f t="shared" ca="1" si="99"/>
        <v>639.92796674858198</v>
      </c>
      <c r="M164" s="3">
        <f t="shared" ca="1" si="99"/>
        <v>639.92796674858198</v>
      </c>
    </row>
    <row r="165" spans="2:16">
      <c r="B165" s="161" t="s">
        <v>470</v>
      </c>
      <c r="F165" s="3"/>
      <c r="G165" s="3">
        <f ca="1">IF(G67="CA",0,G38/IF('Battery Design'!G185="Refrig 1",Thermal!$I$195,IF('Battery Design'!G185="Refrig 2",Thermal!$I$196,IF('Battery Design'!G185="Refrig 3",Thermal!$I$197,IF('Battery Design'!G185="Refrig 4",Thermal!$I$198)))))</f>
        <v>250.96171032080503</v>
      </c>
      <c r="H165" s="3">
        <f ca="1">IF(H67="CA",0,H38/IF('Battery Design'!H185="Refrig 1",Thermal!$I$195,IF('Battery Design'!H185="Refrig 2",Thermal!$I$196,IF('Battery Design'!H185="Refrig 3",Thermal!$I$197,IF('Battery Design'!H185="Refrig 4",Thermal!$I$198)))))</f>
        <v>250.96171032080503</v>
      </c>
      <c r="I165" s="3">
        <f ca="1">IF(I67="CA",0,I38/IF('Battery Design'!I185="Refrig 1",Thermal!$I$195,IF('Battery Design'!I185="Refrig 2",Thermal!$I$196,IF('Battery Design'!I185="Refrig 3",Thermal!$I$197,IF('Battery Design'!I185="Refrig 4",Thermal!$I$198)))))</f>
        <v>250.96171032080503</v>
      </c>
      <c r="J165" s="3">
        <f ca="1">IF(J67="CA",0,J38/IF('Battery Design'!J185="Refrig 1",Thermal!$I$195,IF('Battery Design'!J185="Refrig 2",Thermal!$I$196,IF('Battery Design'!J185="Refrig 3",Thermal!$I$197,IF('Battery Design'!J185="Refrig 4",Thermal!$I$198)))))</f>
        <v>250.96171032080503</v>
      </c>
      <c r="K165" s="3">
        <f ca="1">IF(K67="CA",0,K38/IF('Battery Design'!K185="Refrig 1",Thermal!$I$195,IF('Battery Design'!K185="Refrig 2",Thermal!$I$196,IF('Battery Design'!K185="Refrig 3",Thermal!$I$197,IF('Battery Design'!K185="Refrig 4",Thermal!$I$198)))))</f>
        <v>250.96171032080503</v>
      </c>
      <c r="L165" s="3">
        <f ca="1">IF(L67="CA",0,L38/IF('Battery Design'!L185="Refrig 1",Thermal!$I$195,IF('Battery Design'!L185="Refrig 2",Thermal!$I$196,IF('Battery Design'!L185="Refrig 3",Thermal!$I$197,IF('Battery Design'!L185="Refrig 4",Thermal!$I$198)))))</f>
        <v>250.96171032080503</v>
      </c>
      <c r="M165" s="3">
        <f ca="1">IF(M67="CA",0,M38/IF('Battery Design'!M185="Refrig 1",Thermal!$I$195,IF('Battery Design'!M185="Refrig 2",Thermal!$I$196,IF('Battery Design'!M185="Refrig 3",Thermal!$I$197,IF('Battery Design'!M185="Refrig 4",Thermal!$I$198)))))</f>
        <v>250.96171032080503</v>
      </c>
    </row>
    <row r="166" spans="2:16" ht="14">
      <c r="B166" s="164" t="s">
        <v>413</v>
      </c>
      <c r="F166" s="123"/>
      <c r="G166" s="160" t="str">
        <f t="shared" ref="G166:M166" si="100">IF(G67="CA"," ","NA")</f>
        <v>NA</v>
      </c>
      <c r="H166" s="160" t="str">
        <f t="shared" si="100"/>
        <v>NA</v>
      </c>
      <c r="I166" s="160" t="str">
        <f t="shared" si="100"/>
        <v>NA</v>
      </c>
      <c r="J166" s="160" t="str">
        <f t="shared" si="100"/>
        <v>NA</v>
      </c>
      <c r="K166" s="160" t="str">
        <f t="shared" si="100"/>
        <v>NA</v>
      </c>
      <c r="L166" s="160" t="str">
        <f t="shared" si="100"/>
        <v>NA</v>
      </c>
      <c r="M166" s="160" t="str">
        <f t="shared" si="100"/>
        <v>NA</v>
      </c>
    </row>
    <row r="167" spans="2:16">
      <c r="B167" s="6" t="s">
        <v>299</v>
      </c>
      <c r="F167" s="3"/>
      <c r="G167" s="3">
        <f t="shared" ref="G167" ca="1" si="101">2*G143*G121*G120*G147/(G123*G151*G149/G128)</f>
        <v>5.6149969933229951</v>
      </c>
      <c r="H167" s="3">
        <f t="shared" ref="H167:M167" ca="1" si="102">2*H143*H121*H120*H147/(H123*H151*H149/H128)</f>
        <v>5.6149969933229951</v>
      </c>
      <c r="I167" s="3">
        <f t="shared" ca="1" si="102"/>
        <v>5.6149969933229951</v>
      </c>
      <c r="J167" s="3">
        <f t="shared" ca="1" si="102"/>
        <v>5.6149969933229951</v>
      </c>
      <c r="K167" s="3">
        <f t="shared" ca="1" si="102"/>
        <v>5.6149969933229951</v>
      </c>
      <c r="L167" s="3">
        <f t="shared" ca="1" si="102"/>
        <v>5.6149969933229951</v>
      </c>
      <c r="M167" s="3">
        <f t="shared" ca="1" si="102"/>
        <v>5.6149969933229951</v>
      </c>
    </row>
    <row r="168" spans="2:16">
      <c r="B168" s="6" t="s">
        <v>300</v>
      </c>
      <c r="F168" s="15"/>
      <c r="G168" s="15">
        <f t="shared" ref="G168:L168" ca="1" si="103">(8.235^3.592+(2.255*G167^(1/3))^3.592)^(1/3.592)</f>
        <v>8.4030841283154896</v>
      </c>
      <c r="H168" s="15">
        <f t="shared" ca="1" si="103"/>
        <v>8.4030841283154896</v>
      </c>
      <c r="I168" s="15">
        <f t="shared" ca="1" si="103"/>
        <v>8.4030841283154896</v>
      </c>
      <c r="J168" s="15">
        <f t="shared" ca="1" si="103"/>
        <v>8.4030841283154896</v>
      </c>
      <c r="K168" s="15">
        <f t="shared" ca="1" si="103"/>
        <v>8.4030841283154896</v>
      </c>
      <c r="L168" s="15">
        <f t="shared" ca="1" si="103"/>
        <v>8.4030841283154896</v>
      </c>
      <c r="M168" s="15">
        <f ca="1">(8.235^3.592+(2.255*M167^(1/3))^3.592)^(1/3.592)</f>
        <v>8.4030841283154896</v>
      </c>
    </row>
    <row r="169" spans="2:16">
      <c r="B169" s="853" t="s">
        <v>1542</v>
      </c>
      <c r="F169" s="124"/>
      <c r="G169" s="124">
        <f t="shared" ref="G169:L169" ca="1" si="104">G168*G123/G147</f>
        <v>9.1224689532615998E-3</v>
      </c>
      <c r="H169" s="124">
        <f t="shared" ca="1" si="104"/>
        <v>9.1224689532615998E-3</v>
      </c>
      <c r="I169" s="124">
        <f t="shared" ca="1" si="104"/>
        <v>9.1224689532615998E-3</v>
      </c>
      <c r="J169" s="124">
        <f t="shared" ca="1" si="104"/>
        <v>9.1224689532615998E-3</v>
      </c>
      <c r="K169" s="124">
        <f t="shared" ca="1" si="104"/>
        <v>9.1224689532615998E-3</v>
      </c>
      <c r="L169" s="124">
        <f t="shared" ca="1" si="104"/>
        <v>9.1224689532615998E-3</v>
      </c>
      <c r="M169" s="124">
        <f ca="1">M168*M123/M147</f>
        <v>9.1224689532615998E-3</v>
      </c>
    </row>
    <row r="170" spans="2:16">
      <c r="B170" s="6" t="s">
        <v>1490</v>
      </c>
      <c r="F170" s="3"/>
      <c r="G170" s="3">
        <f t="shared" ref="G170:L170" ca="1" si="105">2*G151*G132</f>
        <v>16.359574889800644</v>
      </c>
      <c r="H170" s="3">
        <f t="shared" ca="1" si="105"/>
        <v>16.359574889800644</v>
      </c>
      <c r="I170" s="3">
        <f t="shared" ca="1" si="105"/>
        <v>16.359574889800644</v>
      </c>
      <c r="J170" s="3">
        <f t="shared" ca="1" si="105"/>
        <v>16.359574889800644</v>
      </c>
      <c r="K170" s="3">
        <f t="shared" ca="1" si="105"/>
        <v>16.359574889800644</v>
      </c>
      <c r="L170" s="3">
        <f t="shared" ca="1" si="105"/>
        <v>16.359574889800644</v>
      </c>
      <c r="M170" s="3">
        <f ca="1">2*M151*M132</f>
        <v>16.359574889800644</v>
      </c>
    </row>
    <row r="171" spans="2:16" ht="15">
      <c r="B171" s="853" t="s">
        <v>1551</v>
      </c>
      <c r="F171" s="15"/>
      <c r="G171" s="15">
        <f t="shared" ref="G171:L171" ca="1" si="106">G148/G169/G170</f>
        <v>0.55315835148939851</v>
      </c>
      <c r="H171" s="15">
        <f t="shared" ca="1" si="106"/>
        <v>0.55315835148939851</v>
      </c>
      <c r="I171" s="15">
        <f t="shared" ca="1" si="106"/>
        <v>0.55315835148939851</v>
      </c>
      <c r="J171" s="15">
        <f t="shared" ca="1" si="106"/>
        <v>0.55315835148939851</v>
      </c>
      <c r="K171" s="15">
        <f t="shared" ca="1" si="106"/>
        <v>0.55315835148939851</v>
      </c>
      <c r="L171" s="15">
        <f t="shared" ca="1" si="106"/>
        <v>0.55315835148939851</v>
      </c>
      <c r="M171" s="15">
        <f ca="1">M148/M169/M170</f>
        <v>0.55315835148939851</v>
      </c>
    </row>
    <row r="172" spans="2:16">
      <c r="B172" s="4" t="s">
        <v>1545</v>
      </c>
      <c r="F172" s="15"/>
      <c r="G172" s="5">
        <f t="shared" ref="G172:L172" ca="1" si="107">G140+G141+G117+G171</f>
        <v>21.048925172386244</v>
      </c>
      <c r="H172" s="5">
        <f t="shared" ca="1" si="107"/>
        <v>21.048925172386244</v>
      </c>
      <c r="I172" s="5">
        <f t="shared" ca="1" si="107"/>
        <v>21.048925172386244</v>
      </c>
      <c r="J172" s="5">
        <f t="shared" ca="1" si="107"/>
        <v>21.048925172386244</v>
      </c>
      <c r="K172" s="5">
        <f t="shared" ca="1" si="107"/>
        <v>21.048925172386244</v>
      </c>
      <c r="L172" s="5">
        <f t="shared" ca="1" si="107"/>
        <v>21.048925172386244</v>
      </c>
      <c r="M172" s="5">
        <f ca="1">M140+M141+M117+M171</f>
        <v>21.048925172386244</v>
      </c>
    </row>
    <row r="173" spans="2:16" ht="16">
      <c r="B173" s="13" t="s">
        <v>338</v>
      </c>
      <c r="N173" s="107"/>
      <c r="O173" s="107"/>
      <c r="P173" s="107"/>
    </row>
    <row r="174" spans="2:16">
      <c r="B174" s="54" t="s">
        <v>340</v>
      </c>
      <c r="G174" s="3"/>
      <c r="H174" s="3"/>
      <c r="I174" s="3"/>
      <c r="J174" s="3"/>
      <c r="K174" s="3"/>
      <c r="L174" s="3"/>
      <c r="M174" s="3"/>
    </row>
    <row r="175" spans="2:16">
      <c r="B175" s="853" t="s">
        <v>1552</v>
      </c>
      <c r="G175" s="248">
        <v>50</v>
      </c>
      <c r="H175" s="248">
        <v>50</v>
      </c>
      <c r="I175" s="248">
        <v>50</v>
      </c>
      <c r="J175" s="248">
        <v>50</v>
      </c>
      <c r="K175" s="248">
        <v>50</v>
      </c>
      <c r="L175" s="248">
        <v>50</v>
      </c>
      <c r="M175" s="248">
        <v>50</v>
      </c>
    </row>
    <row r="176" spans="2:16">
      <c r="B176" s="853" t="s">
        <v>1553</v>
      </c>
      <c r="G176" s="248">
        <v>25</v>
      </c>
      <c r="H176" s="248">
        <v>25</v>
      </c>
      <c r="I176" s="248">
        <v>25</v>
      </c>
      <c r="J176" s="248">
        <v>25</v>
      </c>
      <c r="K176" s="248">
        <v>25</v>
      </c>
      <c r="L176" s="248">
        <v>25</v>
      </c>
      <c r="M176" s="248">
        <v>25</v>
      </c>
    </row>
    <row r="177" spans="1:18">
      <c r="B177" s="6" t="s">
        <v>330</v>
      </c>
      <c r="G177" s="2">
        <f>'Battery Design'!G77/10</f>
        <v>1</v>
      </c>
      <c r="H177" s="163">
        <f>'Battery Design'!H77/10</f>
        <v>1</v>
      </c>
      <c r="I177" s="163">
        <f>'Battery Design'!I77/10</f>
        <v>1</v>
      </c>
      <c r="J177" s="163">
        <f>'Battery Design'!J77/10</f>
        <v>1</v>
      </c>
      <c r="K177" s="163">
        <f>'Battery Design'!K77/10</f>
        <v>1</v>
      </c>
      <c r="L177" s="163">
        <f>'Battery Design'!L77/10</f>
        <v>1</v>
      </c>
      <c r="M177" s="163">
        <f>'Battery Design'!M77/10</f>
        <v>1</v>
      </c>
    </row>
    <row r="178" spans="1:18">
      <c r="B178" s="6" t="s">
        <v>1491</v>
      </c>
      <c r="G178" s="88">
        <f ca="1">(2*('Battery Design'!G157-'Battery Design'!G78)*('Battery Design'!G158-'Battery Design'!G78)+2*('Battery Design'!G157-'Battery Design'!G78)*('Battery Design'!G159-'Battery Design'!G78)+2*('Battery Design'!G158-'Battery Design'!G78)*('Battery Design'!G159-'Battery Design'!G78))/100</f>
        <v>55075.192113298501</v>
      </c>
      <c r="H178" s="88">
        <f ca="1">(2*('Battery Design'!H157-'Battery Design'!H78)*('Battery Design'!H158-'Battery Design'!H78)+2*('Battery Design'!H157-'Battery Design'!H78)*('Battery Design'!H159-'Battery Design'!H78)+2*('Battery Design'!H158-'Battery Design'!H78)*('Battery Design'!H159-'Battery Design'!H78))/100</f>
        <v>55075.192113298501</v>
      </c>
      <c r="I178" s="88">
        <f ca="1">(2*('Battery Design'!I157-'Battery Design'!I78)*('Battery Design'!I158-'Battery Design'!I78)+2*('Battery Design'!I157-'Battery Design'!I78)*('Battery Design'!I159-'Battery Design'!I78)+2*('Battery Design'!I158-'Battery Design'!I78)*('Battery Design'!I159-'Battery Design'!I78))/100</f>
        <v>55075.192113298501</v>
      </c>
      <c r="J178" s="88">
        <f ca="1">(2*('Battery Design'!J157-'Battery Design'!J78)*('Battery Design'!J158-'Battery Design'!J78)+2*('Battery Design'!J157-'Battery Design'!J78)*('Battery Design'!J159-'Battery Design'!J78)+2*('Battery Design'!J158-'Battery Design'!J78)*('Battery Design'!J159-'Battery Design'!J78))/100</f>
        <v>55075.192113298501</v>
      </c>
      <c r="K178" s="88">
        <f ca="1">(2*('Battery Design'!K157-'Battery Design'!K78)*('Battery Design'!K158-'Battery Design'!K78)+2*('Battery Design'!K157-'Battery Design'!K78)*('Battery Design'!K159-'Battery Design'!K78)+2*('Battery Design'!K158-'Battery Design'!K78)*('Battery Design'!K159-'Battery Design'!K78))/100</f>
        <v>55075.192113298501</v>
      </c>
      <c r="L178" s="88">
        <f ca="1">(2*('Battery Design'!L157-'Battery Design'!L78)*('Battery Design'!L158-'Battery Design'!L78)+2*('Battery Design'!L157-'Battery Design'!L78)*('Battery Design'!L159-'Battery Design'!L78)+2*('Battery Design'!L158-'Battery Design'!L78)*('Battery Design'!L159-'Battery Design'!L78))/100</f>
        <v>55075.192113298501</v>
      </c>
      <c r="M178" s="88">
        <f ca="1">(2*('Battery Design'!M157-'Battery Design'!M78)*('Battery Design'!M158-'Battery Design'!M78)+2*('Battery Design'!M157-'Battery Design'!M78)*('Battery Design'!M159-'Battery Design'!M78)+2*('Battery Design'!M158-'Battery Design'!M78)*('Battery Design'!M159-'Battery Design'!M78))/100</f>
        <v>55075.192113298501</v>
      </c>
    </row>
    <row r="179" spans="1:18">
      <c r="A179" s="256" t="s">
        <v>969</v>
      </c>
      <c r="B179" s="6" t="s">
        <v>343</v>
      </c>
      <c r="G179" s="69">
        <v>2.7E-4</v>
      </c>
      <c r="H179" s="69">
        <v>2.7E-4</v>
      </c>
      <c r="I179" s="69">
        <v>2.7E-4</v>
      </c>
      <c r="J179" s="69">
        <v>2.7E-4</v>
      </c>
      <c r="K179" s="69">
        <v>2.7E-4</v>
      </c>
      <c r="L179" s="69">
        <v>2.7E-4</v>
      </c>
      <c r="M179" s="69">
        <v>2.7E-4</v>
      </c>
    </row>
    <row r="180" spans="1:18">
      <c r="B180" s="161" t="s">
        <v>476</v>
      </c>
      <c r="G180" s="3">
        <f t="shared" ref="G180:L180" ca="1" si="108">(G175-G176)/(G183-G182)*G184</f>
        <v>371.75754676476487</v>
      </c>
      <c r="H180" s="3">
        <f t="shared" ca="1" si="108"/>
        <v>371.75754676476487</v>
      </c>
      <c r="I180" s="3">
        <f t="shared" ca="1" si="108"/>
        <v>371.75754676476487</v>
      </c>
      <c r="J180" s="3">
        <f t="shared" ca="1" si="108"/>
        <v>371.75754676476487</v>
      </c>
      <c r="K180" s="3">
        <f t="shared" ca="1" si="108"/>
        <v>371.75754676476487</v>
      </c>
      <c r="L180" s="3">
        <f t="shared" ca="1" si="108"/>
        <v>371.75754676476487</v>
      </c>
      <c r="M180" s="3">
        <f ca="1">(M175-M176)/(M183-M182)*M184</f>
        <v>371.75754676476487</v>
      </c>
    </row>
    <row r="181" spans="1:18">
      <c r="B181" s="121" t="s">
        <v>339</v>
      </c>
      <c r="G181" s="2"/>
      <c r="H181" s="163"/>
      <c r="I181" s="163"/>
      <c r="J181" s="163"/>
      <c r="K181" s="163"/>
      <c r="L181" s="163"/>
      <c r="M181" s="163"/>
    </row>
    <row r="182" spans="1:18">
      <c r="A182" s="256"/>
      <c r="B182" s="853" t="s">
        <v>1554</v>
      </c>
      <c r="G182" s="187">
        <v>-15</v>
      </c>
      <c r="H182" s="187">
        <v>-15</v>
      </c>
      <c r="I182" s="187">
        <v>-15</v>
      </c>
      <c r="J182" s="187">
        <v>-15</v>
      </c>
      <c r="K182" s="187">
        <v>-15</v>
      </c>
      <c r="L182" s="187">
        <v>-15</v>
      </c>
      <c r="M182" s="187">
        <v>-15</v>
      </c>
    </row>
    <row r="183" spans="1:18">
      <c r="B183" s="853" t="s">
        <v>1553</v>
      </c>
      <c r="G183" s="187">
        <v>5</v>
      </c>
      <c r="H183" s="187">
        <v>5</v>
      </c>
      <c r="I183" s="187">
        <v>5</v>
      </c>
      <c r="J183" s="187">
        <v>5</v>
      </c>
      <c r="K183" s="187">
        <v>5</v>
      </c>
      <c r="L183" s="187">
        <v>5</v>
      </c>
      <c r="M183" s="187">
        <v>5</v>
      </c>
    </row>
    <row r="184" spans="1:18">
      <c r="B184" s="161" t="s">
        <v>477</v>
      </c>
      <c r="G184" s="3">
        <f t="shared" ref="G184:L184" ca="1" si="109">G179*G178/G177*(G183-G182)</f>
        <v>297.40603741181189</v>
      </c>
      <c r="H184" s="3">
        <f t="shared" ca="1" si="109"/>
        <v>297.40603741181189</v>
      </c>
      <c r="I184" s="3">
        <f t="shared" ca="1" si="109"/>
        <v>297.40603741181189</v>
      </c>
      <c r="J184" s="3">
        <f t="shared" ca="1" si="109"/>
        <v>297.40603741181189</v>
      </c>
      <c r="K184" s="3">
        <f t="shared" ca="1" si="109"/>
        <v>297.40603741181189</v>
      </c>
      <c r="L184" s="3">
        <f t="shared" ca="1" si="109"/>
        <v>297.40603741181189</v>
      </c>
      <c r="M184" s="3">
        <f ca="1">M179*M178/M177*(M183-M182)</f>
        <v>297.40603741181189</v>
      </c>
    </row>
    <row r="185" spans="1:18" ht="16">
      <c r="B185" s="13" t="s">
        <v>496</v>
      </c>
    </row>
    <row r="186" spans="1:18">
      <c r="B186" s="853" t="s">
        <v>1555</v>
      </c>
      <c r="G186" s="187">
        <v>-15</v>
      </c>
      <c r="H186" s="187">
        <v>-15</v>
      </c>
      <c r="I186" s="187">
        <v>-15</v>
      </c>
      <c r="J186" s="187">
        <v>-15</v>
      </c>
      <c r="K186" s="187">
        <v>-15</v>
      </c>
      <c r="L186" s="187">
        <v>-15</v>
      </c>
      <c r="M186" s="187">
        <v>-15</v>
      </c>
    </row>
    <row r="187" spans="1:18">
      <c r="B187" s="853" t="s">
        <v>1556</v>
      </c>
      <c r="G187" s="187">
        <v>5</v>
      </c>
      <c r="H187" s="187">
        <v>5</v>
      </c>
      <c r="I187" s="187">
        <v>5</v>
      </c>
      <c r="J187" s="187">
        <v>5</v>
      </c>
      <c r="K187" s="187">
        <v>5</v>
      </c>
      <c r="L187" s="187">
        <v>5</v>
      </c>
      <c r="M187" s="187">
        <v>5</v>
      </c>
    </row>
    <row r="188" spans="1:18">
      <c r="A188" s="256"/>
      <c r="B188" s="161" t="s">
        <v>495</v>
      </c>
      <c r="G188" s="3">
        <f t="shared" ref="G188:M188" ca="1" si="110">(G187-G186)*G62*G63/3600*1000</f>
        <v>2412.0519086970639</v>
      </c>
      <c r="H188" s="3">
        <f t="shared" ca="1" si="110"/>
        <v>2412.0519086970639</v>
      </c>
      <c r="I188" s="3">
        <f t="shared" ca="1" si="110"/>
        <v>2412.0519086970639</v>
      </c>
      <c r="J188" s="3">
        <f t="shared" ca="1" si="110"/>
        <v>2412.0519086970639</v>
      </c>
      <c r="K188" s="3">
        <f t="shared" ca="1" si="110"/>
        <v>2412.0519086970639</v>
      </c>
      <c r="L188" s="3">
        <f t="shared" ca="1" si="110"/>
        <v>2412.0519086970639</v>
      </c>
      <c r="M188" s="3">
        <f t="shared" ca="1" si="110"/>
        <v>2412.0519086970639</v>
      </c>
    </row>
    <row r="189" spans="1:18">
      <c r="B189" s="6" t="s">
        <v>377</v>
      </c>
      <c r="D189" s="121"/>
      <c r="G189" s="163">
        <f ca="1">IF('Battery Design'!G62="microHEV",1000,IF(AND('Battery Design'!G62="HEV-HP",G67="EG-W"),0,IF(OR('Battery Design'!G62="HEV-HP",'Battery Design'!G62="PHEV"),1000,ROUND(5*G63,-3))))</f>
        <v>3000</v>
      </c>
      <c r="H189" s="163">
        <f ca="1">IF('Battery Design'!H62="microHEV",1000,IF(AND('Battery Design'!H62="HEV-HP",H67="EG-W"),0,IF(OR('Battery Design'!H62="HEV-HP",'Battery Design'!H62="PHEV"),1000,ROUND(5*H63,-3))))</f>
        <v>3000</v>
      </c>
      <c r="I189" s="163">
        <f ca="1">IF('Battery Design'!I62="microHEV",1000,IF(AND('Battery Design'!I62="HEV-HP",I67="EG-W"),0,IF(OR('Battery Design'!I62="HEV-HP",'Battery Design'!I62="PHEV"),1000,ROUND(5*I63,-3))))</f>
        <v>3000</v>
      </c>
      <c r="J189" s="163">
        <f ca="1">IF('Battery Design'!J62="microHEV",1000,IF(AND('Battery Design'!J62="HEV-HP",J67="EG-W"),0,IF(OR('Battery Design'!J62="HEV-HP",'Battery Design'!J62="PHEV"),1000,ROUND(5*J63,-3))))</f>
        <v>3000</v>
      </c>
      <c r="K189" s="163">
        <f ca="1">IF('Battery Design'!K62="microHEV",1000,IF(AND('Battery Design'!K62="HEV-HP",K67="EG-W"),0,IF(OR('Battery Design'!K62="HEV-HP",'Battery Design'!K62="PHEV"),1000,ROUND(5*K63,-3))))</f>
        <v>3000</v>
      </c>
      <c r="L189" s="163">
        <f ca="1">IF('Battery Design'!L62="microHEV",1000,IF(AND('Battery Design'!L62="HEV-HP",L67="EG-W"),0,IF(OR('Battery Design'!L62="HEV-HP",'Battery Design'!L62="PHEV"),1000,ROUND(5*L63,-3))))</f>
        <v>3000</v>
      </c>
      <c r="M189" s="163">
        <f ca="1">IF('Battery Design'!M62="microHEV",1000,IF(AND('Battery Design'!M62="HEV-HP",M67="EG-W"),0,IF(OR('Battery Design'!M62="HEV-HP",'Battery Design'!M62="PHEV"),1000,ROUND(5*M63,-3))))</f>
        <v>3000</v>
      </c>
      <c r="N189" s="168"/>
      <c r="O189" s="4"/>
      <c r="P189" s="4"/>
      <c r="Q189" s="4"/>
      <c r="R189" s="4"/>
    </row>
    <row r="190" spans="1:18">
      <c r="B190" s="161" t="s">
        <v>614</v>
      </c>
      <c r="G190" s="5">
        <f t="shared" ref="G190:M190" ca="1" si="111">IF(G189=0,0,G188/G189*60)</f>
        <v>48.241038173941277</v>
      </c>
      <c r="H190" s="5">
        <f t="shared" ca="1" si="111"/>
        <v>48.241038173941277</v>
      </c>
      <c r="I190" s="5">
        <f t="shared" ca="1" si="111"/>
        <v>48.241038173941277</v>
      </c>
      <c r="J190" s="5">
        <f t="shared" ca="1" si="111"/>
        <v>48.241038173941277</v>
      </c>
      <c r="K190" s="5">
        <f t="shared" ca="1" si="111"/>
        <v>48.241038173941277</v>
      </c>
      <c r="L190" s="5">
        <f t="shared" ca="1" si="111"/>
        <v>48.241038173941277</v>
      </c>
      <c r="M190" s="5">
        <f t="shared" ca="1" si="111"/>
        <v>48.241038173941277</v>
      </c>
    </row>
    <row r="191" spans="1:18">
      <c r="B191" s="242"/>
      <c r="C191" s="242"/>
      <c r="D191" s="242"/>
      <c r="E191" s="242"/>
      <c r="F191" s="242"/>
      <c r="N191" s="242"/>
    </row>
    <row r="192" spans="1:18" ht="16">
      <c r="B192" s="13" t="s">
        <v>344</v>
      </c>
    </row>
    <row r="193" spans="5:9">
      <c r="E193" s="2"/>
      <c r="F193" s="2" t="s">
        <v>331</v>
      </c>
      <c r="G193" s="86" t="s">
        <v>335</v>
      </c>
      <c r="H193" s="86" t="s">
        <v>335</v>
      </c>
      <c r="I193" s="86" t="s">
        <v>324</v>
      </c>
    </row>
    <row r="194" spans="5:9">
      <c r="E194" s="130" t="s">
        <v>313</v>
      </c>
      <c r="F194" s="130" t="s">
        <v>332</v>
      </c>
      <c r="G194" s="131" t="s">
        <v>341</v>
      </c>
      <c r="H194" s="131" t="s">
        <v>312</v>
      </c>
      <c r="I194" s="135" t="s">
        <v>325</v>
      </c>
    </row>
    <row r="195" spans="5:9">
      <c r="E195" s="72" t="s">
        <v>317</v>
      </c>
      <c r="F195" s="69">
        <v>500</v>
      </c>
      <c r="G195" s="103">
        <v>2</v>
      </c>
      <c r="H195" s="103">
        <f>G195/2.5</f>
        <v>0.8</v>
      </c>
      <c r="I195" s="103">
        <v>2.5</v>
      </c>
    </row>
    <row r="196" spans="5:9">
      <c r="E196" s="72" t="s">
        <v>318</v>
      </c>
      <c r="F196" s="69">
        <v>1000</v>
      </c>
      <c r="G196" s="103">
        <v>3</v>
      </c>
      <c r="H196" s="103">
        <f>G196/2.5</f>
        <v>1.2</v>
      </c>
      <c r="I196" s="103">
        <v>2.5</v>
      </c>
    </row>
    <row r="197" spans="5:9">
      <c r="E197" s="72" t="s">
        <v>319</v>
      </c>
      <c r="F197" s="69">
        <v>3000</v>
      </c>
      <c r="G197" s="103">
        <v>5</v>
      </c>
      <c r="H197" s="103">
        <f>G197/2.5</f>
        <v>2</v>
      </c>
      <c r="I197" s="103">
        <v>2.5</v>
      </c>
    </row>
    <row r="198" spans="5:9">
      <c r="E198" s="72" t="s">
        <v>320</v>
      </c>
      <c r="F198" s="69">
        <v>6000</v>
      </c>
      <c r="G198" s="103">
        <v>7</v>
      </c>
      <c r="H198" s="103">
        <f>G198/2.5</f>
        <v>2.8</v>
      </c>
      <c r="I198" s="103">
        <v>2.5</v>
      </c>
    </row>
  </sheetData>
  <mergeCells count="3">
    <mergeCell ref="B1:M1"/>
    <mergeCell ref="W14:Y14"/>
    <mergeCell ref="R14:T14"/>
  </mergeCells>
  <phoneticPr fontId="7" type="noConversion"/>
  <pageMargins left="0.5" right="0.5" top="0.75" bottom="0.5" header="0.3" footer="0.3"/>
  <pageSetup scale="93" fitToHeight="0" orientation="landscape" r:id="rId1"/>
  <headerFooter alignWithMargins="0">
    <oddFooter>&amp;C&amp;P&amp;R&amp;F, &amp;D</oddFooter>
  </headerFooter>
  <rowBreaks count="6" manualBreakCount="6">
    <brk id="40" min="1" max="12" man="1"/>
    <brk id="65" min="1" max="12" man="1"/>
    <brk id="80" min="1" max="12" man="1"/>
    <brk id="117" min="1" max="12" man="1"/>
    <brk id="143" min="1" max="12" man="1"/>
    <brk id="172" min="1" max="12" man="1"/>
  </rowBreaks>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2:AK171"/>
  <sheetViews>
    <sheetView zoomScale="85" zoomScaleNormal="85" workbookViewId="0">
      <selection activeCell="A18" sqref="A18"/>
    </sheetView>
  </sheetViews>
  <sheetFormatPr baseColWidth="10" defaultColWidth="8.83203125" defaultRowHeight="13"/>
  <cols>
    <col min="2" max="2" width="39.83203125" bestFit="1" customWidth="1"/>
    <col min="3" max="3" width="9.1640625" style="163"/>
    <col min="11" max="11" width="10.5" bestFit="1" customWidth="1"/>
    <col min="12" max="15" width="9.5" bestFit="1" customWidth="1"/>
    <col min="16" max="17" width="10.5" bestFit="1" customWidth="1"/>
  </cols>
  <sheetData>
    <row r="2" spans="2:9" ht="14">
      <c r="C2" s="477" t="s">
        <v>0</v>
      </c>
      <c r="D2" s="477" t="s">
        <v>1</v>
      </c>
      <c r="E2" s="477" t="s">
        <v>2</v>
      </c>
      <c r="F2" s="477" t="s">
        <v>3</v>
      </c>
      <c r="G2" s="477" t="s">
        <v>4</v>
      </c>
      <c r="H2" s="477" t="s">
        <v>530</v>
      </c>
      <c r="I2" s="477" t="s">
        <v>531</v>
      </c>
    </row>
    <row r="3" spans="2:9">
      <c r="B3" t="s">
        <v>222</v>
      </c>
      <c r="C3" s="3">
        <f>'Battery Design'!G68</f>
        <v>20</v>
      </c>
      <c r="D3" s="3">
        <f>'Battery Design'!H68</f>
        <v>20</v>
      </c>
      <c r="E3" s="3">
        <f>'Battery Design'!I68</f>
        <v>20</v>
      </c>
      <c r="F3" s="3">
        <f>'Battery Design'!J68</f>
        <v>20</v>
      </c>
      <c r="G3" s="3">
        <f>'Battery Design'!K68</f>
        <v>20</v>
      </c>
      <c r="H3" s="3">
        <f>'Battery Design'!L68</f>
        <v>20</v>
      </c>
      <c r="I3" s="3">
        <f>'Battery Design'!M68</f>
        <v>20</v>
      </c>
    </row>
    <row r="4" spans="2:9">
      <c r="B4" t="s">
        <v>268</v>
      </c>
      <c r="C4" s="3">
        <f>'Battery Design'!G69</f>
        <v>4</v>
      </c>
      <c r="D4" s="3">
        <f>'Battery Design'!H69</f>
        <v>4</v>
      </c>
      <c r="E4" s="3">
        <f>'Battery Design'!I69</f>
        <v>4</v>
      </c>
      <c r="F4" s="3">
        <f>'Battery Design'!J69</f>
        <v>4</v>
      </c>
      <c r="G4" s="3">
        <f>'Battery Design'!K69</f>
        <v>4</v>
      </c>
      <c r="H4" s="3">
        <f>'Battery Design'!L69</f>
        <v>4</v>
      </c>
      <c r="I4" s="3">
        <f>'Battery Design'!M69</f>
        <v>4</v>
      </c>
    </row>
    <row r="5" spans="2:9">
      <c r="B5" t="s">
        <v>223</v>
      </c>
      <c r="C5" s="3">
        <f>'Battery Design'!G70</f>
        <v>5</v>
      </c>
      <c r="D5" s="3">
        <f>'Battery Design'!H70</f>
        <v>5</v>
      </c>
      <c r="E5" s="3">
        <f>'Battery Design'!I70</f>
        <v>5</v>
      </c>
      <c r="F5" s="3">
        <f>'Battery Design'!J70</f>
        <v>5</v>
      </c>
      <c r="G5" s="3">
        <f>'Battery Design'!K70</f>
        <v>5</v>
      </c>
      <c r="H5" s="3">
        <f>'Battery Design'!L70</f>
        <v>5</v>
      </c>
      <c r="I5" s="3">
        <f>'Battery Design'!M70</f>
        <v>5</v>
      </c>
    </row>
    <row r="6" spans="2:9">
      <c r="B6" t="s">
        <v>483</v>
      </c>
      <c r="C6" s="3">
        <f>'Battery Design'!G71</f>
        <v>4</v>
      </c>
      <c r="D6" s="3">
        <f>'Battery Design'!H71</f>
        <v>4</v>
      </c>
      <c r="E6" s="3">
        <f>'Battery Design'!I71</f>
        <v>4</v>
      </c>
      <c r="F6" s="3">
        <f>'Battery Design'!J71</f>
        <v>4</v>
      </c>
      <c r="G6" s="3">
        <f>'Battery Design'!K71</f>
        <v>4</v>
      </c>
      <c r="H6" s="3">
        <f>'Battery Design'!L71</f>
        <v>4</v>
      </c>
      <c r="I6" s="3">
        <f>'Battery Design'!M71</f>
        <v>4</v>
      </c>
    </row>
    <row r="7" spans="2:9">
      <c r="B7" t="s">
        <v>484</v>
      </c>
      <c r="C7" s="3">
        <f>'Battery Design'!G72</f>
        <v>20</v>
      </c>
      <c r="D7" s="3">
        <f>'Battery Design'!H72</f>
        <v>20</v>
      </c>
      <c r="E7" s="3">
        <f>'Battery Design'!I72</f>
        <v>20</v>
      </c>
      <c r="F7" s="3">
        <f>'Battery Design'!J72</f>
        <v>20</v>
      </c>
      <c r="G7" s="3">
        <f>'Battery Design'!K72</f>
        <v>20</v>
      </c>
      <c r="H7" s="3">
        <f>'Battery Design'!L72</f>
        <v>20</v>
      </c>
      <c r="I7" s="3">
        <f>'Battery Design'!M72</f>
        <v>20</v>
      </c>
    </row>
    <row r="8" spans="2:9">
      <c r="B8" t="s">
        <v>451</v>
      </c>
      <c r="C8" s="3">
        <f>'Battery Design'!G73</f>
        <v>1</v>
      </c>
      <c r="D8" s="3">
        <f>'Battery Design'!H73</f>
        <v>1</v>
      </c>
      <c r="E8" s="3">
        <f>'Battery Design'!I73</f>
        <v>1</v>
      </c>
      <c r="F8" s="3">
        <f>'Battery Design'!J73</f>
        <v>1</v>
      </c>
      <c r="G8" s="3">
        <f>'Battery Design'!K73</f>
        <v>1</v>
      </c>
      <c r="H8" s="3">
        <f>'Battery Design'!L73</f>
        <v>1</v>
      </c>
      <c r="I8" s="3">
        <f>'Battery Design'!M73</f>
        <v>1</v>
      </c>
    </row>
    <row r="9" spans="2:9">
      <c r="B9" t="s">
        <v>485</v>
      </c>
      <c r="C9" s="3">
        <f>'Battery Design'!G74</f>
        <v>400</v>
      </c>
      <c r="D9" s="3">
        <f>'Battery Design'!H74</f>
        <v>400</v>
      </c>
      <c r="E9" s="3">
        <f>'Battery Design'!I74</f>
        <v>400</v>
      </c>
      <c r="F9" s="3">
        <f>'Battery Design'!J74</f>
        <v>400</v>
      </c>
      <c r="G9" s="3">
        <f>'Battery Design'!K74</f>
        <v>400</v>
      </c>
      <c r="H9" s="3">
        <f>'Battery Design'!L74</f>
        <v>400</v>
      </c>
      <c r="I9" s="3">
        <f>'Battery Design'!M74</f>
        <v>400</v>
      </c>
    </row>
    <row r="10" spans="2:9">
      <c r="C10" s="3"/>
      <c r="D10" s="3"/>
      <c r="E10" s="3"/>
      <c r="F10" s="3"/>
      <c r="G10" s="3"/>
      <c r="H10" s="3"/>
      <c r="I10" s="3"/>
    </row>
    <row r="11" spans="2:9">
      <c r="C11" s="3"/>
      <c r="D11" s="3"/>
      <c r="E11" s="3"/>
      <c r="F11" s="3"/>
      <c r="G11" s="3"/>
      <c r="H11" s="3"/>
      <c r="I11" s="3"/>
    </row>
    <row r="12" spans="2:9">
      <c r="B12" s="256" t="s">
        <v>487</v>
      </c>
      <c r="C12" s="3">
        <f ca="1">'Battery Design'!G81</f>
        <v>309.40234438966644</v>
      </c>
      <c r="D12" s="3">
        <f ca="1">'Battery Design'!H81</f>
        <v>309.40234438966644</v>
      </c>
      <c r="E12" s="3">
        <f ca="1">'Battery Design'!I81</f>
        <v>309.40234438966644</v>
      </c>
      <c r="F12" s="3">
        <f ca="1">'Battery Design'!J81</f>
        <v>309.40234438966644</v>
      </c>
      <c r="G12" s="3">
        <f ca="1">'Battery Design'!K81</f>
        <v>309.40234438966644</v>
      </c>
      <c r="H12" s="3">
        <f ca="1">'Battery Design'!L81</f>
        <v>309.40234438966644</v>
      </c>
      <c r="I12" s="3">
        <f ca="1">'Battery Design'!M81</f>
        <v>309.40234438966644</v>
      </c>
    </row>
    <row r="13" spans="2:9">
      <c r="B13" s="256" t="s">
        <v>727</v>
      </c>
      <c r="C13" s="3">
        <f ca="1">'Battery Design'!G165</f>
        <v>1011.3992339083467</v>
      </c>
      <c r="D13" s="3">
        <f ca="1">'Battery Design'!H165</f>
        <v>1011.3992339083467</v>
      </c>
      <c r="E13" s="3">
        <f ca="1">'Battery Design'!I165</f>
        <v>1011.3992339083467</v>
      </c>
      <c r="F13" s="3">
        <f ca="1">'Battery Design'!J165</f>
        <v>1011.3992339083467</v>
      </c>
      <c r="G13" s="3">
        <f ca="1">'Battery Design'!K165</f>
        <v>1011.3992339083467</v>
      </c>
      <c r="H13" s="3">
        <f ca="1">'Battery Design'!L165</f>
        <v>1011.3992339083467</v>
      </c>
      <c r="I13" s="3">
        <f ca="1">'Battery Design'!M165</f>
        <v>1011.3992339083467</v>
      </c>
    </row>
    <row r="14" spans="2:9">
      <c r="B14" t="s">
        <v>753</v>
      </c>
      <c r="C14" s="16">
        <f>'Battery Design'!G205</f>
        <v>1000</v>
      </c>
      <c r="D14" s="16">
        <f>'Battery Design'!H205</f>
        <v>20000</v>
      </c>
      <c r="E14" s="16">
        <f>'Battery Design'!I205</f>
        <v>30000</v>
      </c>
      <c r="F14" s="16">
        <f>'Battery Design'!J205</f>
        <v>40000</v>
      </c>
      <c r="G14" s="16">
        <f>'Battery Design'!K205</f>
        <v>50000</v>
      </c>
      <c r="H14" s="16">
        <f>'Battery Design'!L205</f>
        <v>75000</v>
      </c>
      <c r="I14" s="16">
        <f>'Battery Design'!M205</f>
        <v>100000</v>
      </c>
    </row>
    <row r="16" spans="2:9">
      <c r="B16" t="s">
        <v>754</v>
      </c>
      <c r="C16" s="3">
        <f>C3/C4*C7/C8</f>
        <v>100</v>
      </c>
      <c r="D16" s="3">
        <f t="shared" ref="D16:I16" si="0">D3/D4*D7/D8</f>
        <v>100</v>
      </c>
      <c r="E16" s="3">
        <f t="shared" si="0"/>
        <v>100</v>
      </c>
      <c r="F16" s="3">
        <f t="shared" si="0"/>
        <v>100</v>
      </c>
      <c r="G16" s="3">
        <f t="shared" si="0"/>
        <v>100</v>
      </c>
      <c r="H16" s="3">
        <f t="shared" si="0"/>
        <v>100</v>
      </c>
      <c r="I16" s="3">
        <f t="shared" si="0"/>
        <v>100</v>
      </c>
    </row>
    <row r="17" spans="2:37">
      <c r="B17" s="256" t="s">
        <v>849</v>
      </c>
      <c r="C17" s="3">
        <v>8</v>
      </c>
      <c r="D17" s="3">
        <v>8</v>
      </c>
      <c r="E17" s="3">
        <v>8</v>
      </c>
      <c r="F17" s="3">
        <v>8</v>
      </c>
      <c r="G17" s="3">
        <v>8</v>
      </c>
      <c r="H17" s="3">
        <v>8</v>
      </c>
      <c r="I17" s="3">
        <v>8</v>
      </c>
      <c r="W17" s="256"/>
    </row>
    <row r="18" spans="2:37">
      <c r="B18" s="256" t="s">
        <v>837</v>
      </c>
      <c r="C18" s="3">
        <f>MAX(ROUNDUP(C16/C17,0), 3)</f>
        <v>13</v>
      </c>
      <c r="D18" s="3">
        <f t="shared" ref="D18:I18" si="1">MAX(ROUNDUP(D16/D17,0), 3)</f>
        <v>13</v>
      </c>
      <c r="E18" s="3">
        <f t="shared" si="1"/>
        <v>13</v>
      </c>
      <c r="F18" s="3">
        <f t="shared" si="1"/>
        <v>13</v>
      </c>
      <c r="G18" s="3">
        <f t="shared" si="1"/>
        <v>13</v>
      </c>
      <c r="H18" s="3">
        <f t="shared" si="1"/>
        <v>13</v>
      </c>
      <c r="I18" s="3">
        <f t="shared" si="1"/>
        <v>13</v>
      </c>
    </row>
    <row r="19" spans="2:37" ht="14" thickBot="1">
      <c r="B19" s="256"/>
      <c r="C19" s="484" t="s">
        <v>0</v>
      </c>
      <c r="D19" s="484" t="s">
        <v>1</v>
      </c>
      <c r="E19" s="484" t="s">
        <v>2</v>
      </c>
      <c r="F19" s="484" t="s">
        <v>3</v>
      </c>
      <c r="G19" s="484" t="s">
        <v>4</v>
      </c>
      <c r="H19" s="484" t="s">
        <v>530</v>
      </c>
      <c r="I19" s="484" t="s">
        <v>531</v>
      </c>
      <c r="K19" s="484" t="s">
        <v>0</v>
      </c>
      <c r="L19" s="484" t="s">
        <v>1</v>
      </c>
      <c r="M19" s="484" t="s">
        <v>2</v>
      </c>
      <c r="N19" s="484" t="s">
        <v>3</v>
      </c>
      <c r="O19" s="484" t="s">
        <v>4</v>
      </c>
      <c r="P19" s="484" t="s">
        <v>530</v>
      </c>
      <c r="Q19" s="484" t="s">
        <v>531</v>
      </c>
      <c r="S19" s="350"/>
      <c r="T19" s="350"/>
      <c r="U19" s="350"/>
      <c r="W19" s="484" t="s">
        <v>0</v>
      </c>
      <c r="X19" s="484" t="s">
        <v>1</v>
      </c>
      <c r="Y19" s="484" t="s">
        <v>2</v>
      </c>
      <c r="Z19" s="484" t="s">
        <v>3</v>
      </c>
      <c r="AA19" s="484" t="s">
        <v>4</v>
      </c>
      <c r="AB19" s="484" t="s">
        <v>530</v>
      </c>
      <c r="AC19" s="484" t="s">
        <v>531</v>
      </c>
      <c r="AE19" s="484" t="s">
        <v>0</v>
      </c>
      <c r="AF19" s="484" t="s">
        <v>1</v>
      </c>
      <c r="AG19" s="484" t="s">
        <v>2</v>
      </c>
      <c r="AH19" s="484" t="s">
        <v>3</v>
      </c>
      <c r="AI19" s="484" t="s">
        <v>4</v>
      </c>
      <c r="AJ19" s="484" t="s">
        <v>530</v>
      </c>
      <c r="AK19" s="484" t="s">
        <v>531</v>
      </c>
    </row>
    <row r="20" spans="2:37" s="487" customFormat="1" ht="37" thickTop="1">
      <c r="B20" s="516"/>
      <c r="C20" s="1333" t="s">
        <v>823</v>
      </c>
      <c r="D20" s="1333"/>
      <c r="E20" s="1333"/>
      <c r="F20" s="1333"/>
      <c r="G20" s="1333"/>
      <c r="H20" s="1333"/>
      <c r="I20" s="1333"/>
      <c r="J20" s="517"/>
      <c r="K20" s="1333" t="s">
        <v>824</v>
      </c>
      <c r="L20" s="1333"/>
      <c r="M20" s="1333"/>
      <c r="N20" s="1333"/>
      <c r="O20" s="1333"/>
      <c r="P20" s="1333"/>
      <c r="Q20" s="1333"/>
      <c r="R20" s="517"/>
      <c r="S20" s="518" t="s">
        <v>827</v>
      </c>
      <c r="T20" s="518" t="s">
        <v>828</v>
      </c>
      <c r="U20" s="519" t="s">
        <v>30</v>
      </c>
      <c r="V20" s="517"/>
      <c r="W20" s="1333" t="s">
        <v>825</v>
      </c>
      <c r="X20" s="1333"/>
      <c r="Y20" s="1333"/>
      <c r="Z20" s="1333"/>
      <c r="AA20" s="1333"/>
      <c r="AB20" s="1333"/>
      <c r="AC20" s="1333"/>
      <c r="AD20" s="517"/>
      <c r="AE20" s="1333" t="s">
        <v>826</v>
      </c>
      <c r="AF20" s="1333"/>
      <c r="AG20" s="1333"/>
      <c r="AH20" s="1333"/>
      <c r="AI20" s="1333"/>
      <c r="AJ20" s="1333"/>
      <c r="AK20" s="1334"/>
    </row>
    <row r="21" spans="2:37" s="487" customFormat="1" ht="16">
      <c r="B21" s="504" t="s">
        <v>755</v>
      </c>
      <c r="C21" s="501"/>
      <c r="D21" s="502"/>
      <c r="E21" s="502"/>
      <c r="F21" s="502"/>
      <c r="G21" s="502"/>
      <c r="H21" s="502"/>
      <c r="I21" s="502"/>
      <c r="J21" s="488"/>
      <c r="K21" s="501"/>
      <c r="L21" s="502"/>
      <c r="M21" s="502"/>
      <c r="N21" s="502"/>
      <c r="O21" s="502"/>
      <c r="P21" s="502"/>
      <c r="Q21" s="502"/>
      <c r="R21" s="488"/>
      <c r="S21" s="488"/>
      <c r="T21" s="488"/>
      <c r="U21" s="488"/>
      <c r="V21" s="488"/>
      <c r="W21" s="503"/>
      <c r="X21" s="503"/>
      <c r="Y21" s="503"/>
      <c r="Z21" s="503"/>
      <c r="AA21" s="503"/>
      <c r="AB21" s="503"/>
      <c r="AC21" s="503"/>
      <c r="AD21" s="488"/>
      <c r="AE21" s="497">
        <f t="shared" ref="AE21:AK21" si="2">SUM(AE22:AE50)</f>
        <v>267.31237384678531</v>
      </c>
      <c r="AF21" s="497">
        <f t="shared" si="2"/>
        <v>198.11440893040765</v>
      </c>
      <c r="AG21" s="497">
        <f t="shared" si="2"/>
        <v>190.24223399130327</v>
      </c>
      <c r="AH21" s="497">
        <f t="shared" si="2"/>
        <v>184.84727963088466</v>
      </c>
      <c r="AI21" s="497">
        <f t="shared" si="2"/>
        <v>180.76821192705989</v>
      </c>
      <c r="AJ21" s="497">
        <f t="shared" si="2"/>
        <v>173.5852967852401</v>
      </c>
      <c r="AK21" s="505">
        <f t="shared" si="2"/>
        <v>168.66270554906433</v>
      </c>
    </row>
    <row r="22" spans="2:37" s="487" customFormat="1">
      <c r="B22" s="506" t="s">
        <v>756</v>
      </c>
      <c r="C22" s="524">
        <f t="shared" ref="C22:I22" si="3">$C$136</f>
        <v>1</v>
      </c>
      <c r="D22" s="524">
        <f t="shared" si="3"/>
        <v>1</v>
      </c>
      <c r="E22" s="524">
        <f t="shared" si="3"/>
        <v>1</v>
      </c>
      <c r="F22" s="524">
        <f t="shared" si="3"/>
        <v>1</v>
      </c>
      <c r="G22" s="524">
        <f t="shared" si="3"/>
        <v>1</v>
      </c>
      <c r="H22" s="524">
        <f t="shared" si="3"/>
        <v>1</v>
      </c>
      <c r="I22" s="524">
        <f t="shared" si="3"/>
        <v>1</v>
      </c>
      <c r="J22" s="488"/>
      <c r="K22" s="489">
        <f t="shared" ref="K22:K50" si="4">C22*C$14</f>
        <v>1000</v>
      </c>
      <c r="L22" s="489">
        <f t="shared" ref="L22:L50" si="5">D22*D$14</f>
        <v>20000</v>
      </c>
      <c r="M22" s="489">
        <f t="shared" ref="M22:M50" si="6">E22*E$14</f>
        <v>30000</v>
      </c>
      <c r="N22" s="489">
        <f t="shared" ref="N22:N50" si="7">F22*F$14</f>
        <v>40000</v>
      </c>
      <c r="O22" s="489">
        <f t="shared" ref="O22:O50" si="8">G22*G$14</f>
        <v>50000</v>
      </c>
      <c r="P22" s="489">
        <f t="shared" ref="P22:P50" si="9">H22*H$14</f>
        <v>75000</v>
      </c>
      <c r="Q22" s="489">
        <f t="shared" ref="Q22:Q50" si="10">I22*I$14</f>
        <v>100000</v>
      </c>
      <c r="R22" s="488"/>
      <c r="S22" s="490">
        <v>5</v>
      </c>
      <c r="T22" s="491">
        <v>1000</v>
      </c>
      <c r="U22" s="492">
        <v>0.9</v>
      </c>
      <c r="V22" s="488"/>
      <c r="W22" s="493">
        <f t="shared" ref="W22:W50" si="11">$S22*($T22/K22)^(1-$U22)</f>
        <v>5</v>
      </c>
      <c r="X22" s="493">
        <f t="shared" ref="X22:X50" si="12">$S22*($T22/L22)^(1-$U22)</f>
        <v>3.7056722455347391</v>
      </c>
      <c r="Y22" s="493">
        <f t="shared" ref="Y22:Y50" si="13">$S22*($T22/M22)^(1-$U22)</f>
        <v>3.5584255089579937</v>
      </c>
      <c r="Z22" s="493">
        <f t="shared" ref="Z22:Z50" si="14">$S22*($T22/N22)^(1-$U22)</f>
        <v>3.4575144609061965</v>
      </c>
      <c r="AA22" s="493">
        <f t="shared" ref="AA22:AA50" si="15">$S22*($T22/O22)^(1-$U22)</f>
        <v>3.3812166890312074</v>
      </c>
      <c r="AB22" s="493">
        <f t="shared" ref="AB22:AB50" si="16">$S22*($T22/P22)^(1-$U22)</f>
        <v>3.2468623559628691</v>
      </c>
      <c r="AC22" s="493">
        <f t="shared" ref="AC22:AC50" si="17">$S22*($T22/Q22)^(1-$U22)</f>
        <v>3.1547867224009667</v>
      </c>
      <c r="AD22" s="488"/>
      <c r="AE22" s="494">
        <f>C22*W22</f>
        <v>5</v>
      </c>
      <c r="AF22" s="494">
        <f t="shared" ref="AF22:AK37" si="18">D22*X22</f>
        <v>3.7056722455347391</v>
      </c>
      <c r="AG22" s="494">
        <f t="shared" si="18"/>
        <v>3.5584255089579937</v>
      </c>
      <c r="AH22" s="494">
        <f t="shared" si="18"/>
        <v>3.4575144609061965</v>
      </c>
      <c r="AI22" s="494">
        <f t="shared" si="18"/>
        <v>3.3812166890312074</v>
      </c>
      <c r="AJ22" s="494">
        <f t="shared" si="18"/>
        <v>3.2468623559628691</v>
      </c>
      <c r="AK22" s="507">
        <f t="shared" si="18"/>
        <v>3.1547867224009667</v>
      </c>
    </row>
    <row r="23" spans="2:37" s="487" customFormat="1">
      <c r="B23" s="506" t="s">
        <v>757</v>
      </c>
      <c r="C23" s="524">
        <f t="shared" ref="C23:I23" si="19">$C$137+ROUNDUP(C18*$C$117,0)</f>
        <v>8</v>
      </c>
      <c r="D23" s="524">
        <f t="shared" si="19"/>
        <v>8</v>
      </c>
      <c r="E23" s="524">
        <f t="shared" si="19"/>
        <v>8</v>
      </c>
      <c r="F23" s="524">
        <f t="shared" si="19"/>
        <v>8</v>
      </c>
      <c r="G23" s="524">
        <f t="shared" si="19"/>
        <v>8</v>
      </c>
      <c r="H23" s="524">
        <f t="shared" si="19"/>
        <v>8</v>
      </c>
      <c r="I23" s="524">
        <f t="shared" si="19"/>
        <v>8</v>
      </c>
      <c r="J23" s="488"/>
      <c r="K23" s="489">
        <f t="shared" si="4"/>
        <v>8000</v>
      </c>
      <c r="L23" s="489">
        <f t="shared" si="5"/>
        <v>160000</v>
      </c>
      <c r="M23" s="489">
        <f t="shared" si="6"/>
        <v>240000</v>
      </c>
      <c r="N23" s="489">
        <f t="shared" si="7"/>
        <v>320000</v>
      </c>
      <c r="O23" s="489">
        <f t="shared" si="8"/>
        <v>400000</v>
      </c>
      <c r="P23" s="489">
        <f t="shared" si="9"/>
        <v>600000</v>
      </c>
      <c r="Q23" s="489">
        <f t="shared" si="10"/>
        <v>800000</v>
      </c>
      <c r="R23" s="488"/>
      <c r="S23" s="490">
        <v>1.58</v>
      </c>
      <c r="T23" s="491">
        <v>5000</v>
      </c>
      <c r="U23" s="492">
        <v>0.9</v>
      </c>
      <c r="V23" s="488"/>
      <c r="W23" s="493">
        <f t="shared" si="11"/>
        <v>1.5074575410993021</v>
      </c>
      <c r="X23" s="493">
        <f t="shared" si="12"/>
        <v>1.1172287142747452</v>
      </c>
      <c r="Y23" s="493">
        <f t="shared" si="13"/>
        <v>1.0728350735837699</v>
      </c>
      <c r="Z23" s="493">
        <f t="shared" si="14"/>
        <v>1.0424112495105866</v>
      </c>
      <c r="AA23" s="493">
        <f t="shared" si="15"/>
        <v>1.0194081191941815</v>
      </c>
      <c r="AB23" s="493">
        <f t="shared" si="16"/>
        <v>0.97890142868153462</v>
      </c>
      <c r="AC23" s="493">
        <f t="shared" si="17"/>
        <v>0.95114140704865757</v>
      </c>
      <c r="AD23" s="488"/>
      <c r="AE23" s="494">
        <f t="shared" ref="AE23:AK50" si="20">C23*W23</f>
        <v>12.059660328794417</v>
      </c>
      <c r="AF23" s="494">
        <f t="shared" si="18"/>
        <v>8.9378297141979619</v>
      </c>
      <c r="AG23" s="494">
        <f t="shared" si="18"/>
        <v>8.5826805886701596</v>
      </c>
      <c r="AH23" s="494">
        <f t="shared" si="18"/>
        <v>8.3392899960846929</v>
      </c>
      <c r="AI23" s="494">
        <f t="shared" si="18"/>
        <v>8.155264953553452</v>
      </c>
      <c r="AJ23" s="494">
        <f t="shared" si="18"/>
        <v>7.831211429452277</v>
      </c>
      <c r="AK23" s="507">
        <f t="shared" si="18"/>
        <v>7.6091312563892606</v>
      </c>
    </row>
    <row r="24" spans="2:37" s="487" customFormat="1">
      <c r="B24" s="506" t="s">
        <v>758</v>
      </c>
      <c r="C24" s="524">
        <f t="shared" ref="C24:I24" si="21">$C$138</f>
        <v>1</v>
      </c>
      <c r="D24" s="524">
        <f t="shared" si="21"/>
        <v>1</v>
      </c>
      <c r="E24" s="524">
        <f t="shared" si="21"/>
        <v>1</v>
      </c>
      <c r="F24" s="524">
        <f t="shared" si="21"/>
        <v>1</v>
      </c>
      <c r="G24" s="524">
        <f t="shared" si="21"/>
        <v>1</v>
      </c>
      <c r="H24" s="524">
        <f t="shared" si="21"/>
        <v>1</v>
      </c>
      <c r="I24" s="524">
        <f t="shared" si="21"/>
        <v>1</v>
      </c>
      <c r="J24" s="488"/>
      <c r="K24" s="489">
        <f t="shared" si="4"/>
        <v>1000</v>
      </c>
      <c r="L24" s="489">
        <f t="shared" si="5"/>
        <v>20000</v>
      </c>
      <c r="M24" s="489">
        <f t="shared" si="6"/>
        <v>30000</v>
      </c>
      <c r="N24" s="489">
        <f t="shared" si="7"/>
        <v>40000</v>
      </c>
      <c r="O24" s="489">
        <f t="shared" si="8"/>
        <v>50000</v>
      </c>
      <c r="P24" s="489">
        <f t="shared" si="9"/>
        <v>75000</v>
      </c>
      <c r="Q24" s="489">
        <f t="shared" si="10"/>
        <v>100000</v>
      </c>
      <c r="R24" s="488"/>
      <c r="S24" s="490">
        <v>1.3</v>
      </c>
      <c r="T24" s="491">
        <v>5000</v>
      </c>
      <c r="U24" s="492">
        <v>0.9</v>
      </c>
      <c r="V24" s="488"/>
      <c r="W24" s="493">
        <f t="shared" si="11"/>
        <v>1.5270046260144248</v>
      </c>
      <c r="X24" s="493">
        <f t="shared" si="12"/>
        <v>1.1317157322849614</v>
      </c>
      <c r="Y24" s="493">
        <f t="shared" si="13"/>
        <v>1.086746442701318</v>
      </c>
      <c r="Z24" s="493">
        <f t="shared" si="14"/>
        <v>1.0559281152631064</v>
      </c>
      <c r="AA24" s="493">
        <f t="shared" si="15"/>
        <v>1.0326267051415661</v>
      </c>
      <c r="AB24" s="493">
        <f t="shared" si="16"/>
        <v>0.99159476751747888</v>
      </c>
      <c r="AC24" s="493">
        <f t="shared" si="17"/>
        <v>0.96347478383903218</v>
      </c>
      <c r="AD24" s="488"/>
      <c r="AE24" s="494">
        <f t="shared" si="20"/>
        <v>1.5270046260144248</v>
      </c>
      <c r="AF24" s="494">
        <f t="shared" si="18"/>
        <v>1.1317157322849614</v>
      </c>
      <c r="AG24" s="494">
        <f t="shared" si="18"/>
        <v>1.086746442701318</v>
      </c>
      <c r="AH24" s="494">
        <f t="shared" si="18"/>
        <v>1.0559281152631064</v>
      </c>
      <c r="AI24" s="494">
        <f t="shared" si="18"/>
        <v>1.0326267051415661</v>
      </c>
      <c r="AJ24" s="494">
        <f t="shared" si="18"/>
        <v>0.99159476751747888</v>
      </c>
      <c r="AK24" s="507">
        <f t="shared" si="18"/>
        <v>0.96347478383903218</v>
      </c>
    </row>
    <row r="25" spans="2:37" s="487" customFormat="1">
      <c r="B25" s="506" t="s">
        <v>759</v>
      </c>
      <c r="C25" s="524">
        <f t="shared" ref="C25:I25" si="22">$C$139+ROUNDUP(C18*$C$118,0)</f>
        <v>5</v>
      </c>
      <c r="D25" s="524">
        <f t="shared" si="22"/>
        <v>5</v>
      </c>
      <c r="E25" s="524">
        <f t="shared" si="22"/>
        <v>5</v>
      </c>
      <c r="F25" s="524">
        <f t="shared" si="22"/>
        <v>5</v>
      </c>
      <c r="G25" s="524">
        <f t="shared" si="22"/>
        <v>5</v>
      </c>
      <c r="H25" s="524">
        <f t="shared" si="22"/>
        <v>5</v>
      </c>
      <c r="I25" s="524">
        <f t="shared" si="22"/>
        <v>5</v>
      </c>
      <c r="J25" s="488"/>
      <c r="K25" s="489">
        <f t="shared" si="4"/>
        <v>5000</v>
      </c>
      <c r="L25" s="489">
        <f t="shared" si="5"/>
        <v>100000</v>
      </c>
      <c r="M25" s="489">
        <f t="shared" si="6"/>
        <v>150000</v>
      </c>
      <c r="N25" s="489">
        <f t="shared" si="7"/>
        <v>200000</v>
      </c>
      <c r="O25" s="489">
        <f t="shared" si="8"/>
        <v>250000</v>
      </c>
      <c r="P25" s="489">
        <f t="shared" si="9"/>
        <v>375000</v>
      </c>
      <c r="Q25" s="489">
        <f t="shared" si="10"/>
        <v>500000</v>
      </c>
      <c r="R25" s="488"/>
      <c r="S25" s="490">
        <v>0.5</v>
      </c>
      <c r="T25" s="491">
        <v>1000</v>
      </c>
      <c r="U25" s="492">
        <v>0.9</v>
      </c>
      <c r="V25" s="488"/>
      <c r="W25" s="493">
        <f t="shared" si="11"/>
        <v>0.4256699612603923</v>
      </c>
      <c r="X25" s="493">
        <f t="shared" si="12"/>
        <v>0.31547867224009668</v>
      </c>
      <c r="Y25" s="493">
        <f t="shared" si="13"/>
        <v>0.30294296970922824</v>
      </c>
      <c r="Z25" s="493">
        <f t="shared" si="14"/>
        <v>0.29435200932623734</v>
      </c>
      <c r="AA25" s="493">
        <f t="shared" si="15"/>
        <v>0.28785647540658121</v>
      </c>
      <c r="AB25" s="493">
        <f t="shared" si="16"/>
        <v>0.27641835465610809</v>
      </c>
      <c r="AC25" s="493">
        <f t="shared" si="17"/>
        <v>0.26857958838184393</v>
      </c>
      <c r="AD25" s="488"/>
      <c r="AE25" s="494">
        <f t="shared" si="20"/>
        <v>2.1283498063019617</v>
      </c>
      <c r="AF25" s="494">
        <f t="shared" si="18"/>
        <v>1.5773933612004833</v>
      </c>
      <c r="AG25" s="494">
        <f t="shared" si="18"/>
        <v>1.5147148485461412</v>
      </c>
      <c r="AH25" s="494">
        <f t="shared" si="18"/>
        <v>1.4717600466311866</v>
      </c>
      <c r="AI25" s="494">
        <f t="shared" si="18"/>
        <v>1.4392823770329062</v>
      </c>
      <c r="AJ25" s="494">
        <f t="shared" si="18"/>
        <v>1.3820917732805404</v>
      </c>
      <c r="AK25" s="507">
        <f t="shared" si="18"/>
        <v>1.3428979419092197</v>
      </c>
    </row>
    <row r="26" spans="2:37" s="487" customFormat="1">
      <c r="B26" s="506" t="s">
        <v>760</v>
      </c>
      <c r="C26" s="524">
        <f t="shared" ref="C26:I26" si="23">$C$119</f>
        <v>1</v>
      </c>
      <c r="D26" s="524">
        <f t="shared" si="23"/>
        <v>1</v>
      </c>
      <c r="E26" s="524">
        <f t="shared" si="23"/>
        <v>1</v>
      </c>
      <c r="F26" s="524">
        <f t="shared" si="23"/>
        <v>1</v>
      </c>
      <c r="G26" s="524">
        <f t="shared" si="23"/>
        <v>1</v>
      </c>
      <c r="H26" s="524">
        <f t="shared" si="23"/>
        <v>1</v>
      </c>
      <c r="I26" s="524">
        <f t="shared" si="23"/>
        <v>1</v>
      </c>
      <c r="J26" s="488"/>
      <c r="K26" s="489">
        <f t="shared" si="4"/>
        <v>1000</v>
      </c>
      <c r="L26" s="489">
        <f t="shared" si="5"/>
        <v>20000</v>
      </c>
      <c r="M26" s="489">
        <f t="shared" si="6"/>
        <v>30000</v>
      </c>
      <c r="N26" s="489">
        <f t="shared" si="7"/>
        <v>40000</v>
      </c>
      <c r="O26" s="489">
        <f t="shared" si="8"/>
        <v>50000</v>
      </c>
      <c r="P26" s="489">
        <f t="shared" si="9"/>
        <v>75000</v>
      </c>
      <c r="Q26" s="489">
        <f t="shared" si="10"/>
        <v>100000</v>
      </c>
      <c r="R26" s="488"/>
      <c r="S26" s="490">
        <v>20.299800000000001</v>
      </c>
      <c r="T26" s="491">
        <v>500</v>
      </c>
      <c r="U26" s="492">
        <v>0.9</v>
      </c>
      <c r="V26" s="488"/>
      <c r="W26" s="493">
        <f t="shared" si="11"/>
        <v>18.940383121598884</v>
      </c>
      <c r="X26" s="493">
        <f t="shared" si="12"/>
        <v>14.037370410700722</v>
      </c>
      <c r="Y26" s="493">
        <f t="shared" si="13"/>
        <v>13.47958848986698</v>
      </c>
      <c r="Z26" s="493">
        <f t="shared" si="14"/>
        <v>13.097329707606358</v>
      </c>
      <c r="AA26" s="493">
        <f t="shared" si="15"/>
        <v>12.808307901479029</v>
      </c>
      <c r="AB26" s="493">
        <f t="shared" si="16"/>
        <v>12.299363393006784</v>
      </c>
      <c r="AC26" s="493">
        <f t="shared" si="17"/>
        <v>11.950573837841507</v>
      </c>
      <c r="AD26" s="488"/>
      <c r="AE26" s="494">
        <f t="shared" si="20"/>
        <v>18.940383121598884</v>
      </c>
      <c r="AF26" s="494">
        <f t="shared" si="18"/>
        <v>14.037370410700722</v>
      </c>
      <c r="AG26" s="494">
        <f t="shared" si="18"/>
        <v>13.47958848986698</v>
      </c>
      <c r="AH26" s="494">
        <f t="shared" si="18"/>
        <v>13.097329707606358</v>
      </c>
      <c r="AI26" s="494">
        <f t="shared" si="18"/>
        <v>12.808307901479029</v>
      </c>
      <c r="AJ26" s="494">
        <f t="shared" si="18"/>
        <v>12.299363393006784</v>
      </c>
      <c r="AK26" s="507">
        <f t="shared" si="18"/>
        <v>11.950573837841507</v>
      </c>
    </row>
    <row r="27" spans="2:37" s="487" customFormat="1">
      <c r="B27" s="506" t="s">
        <v>761</v>
      </c>
      <c r="C27" s="524">
        <f t="shared" ref="C27:I27" si="24">$C$140+ROUNDUP(C18*$C$120,0)</f>
        <v>14</v>
      </c>
      <c r="D27" s="524">
        <f t="shared" si="24"/>
        <v>14</v>
      </c>
      <c r="E27" s="524">
        <f t="shared" si="24"/>
        <v>14</v>
      </c>
      <c r="F27" s="524">
        <f t="shared" si="24"/>
        <v>14</v>
      </c>
      <c r="G27" s="524">
        <f t="shared" si="24"/>
        <v>14</v>
      </c>
      <c r="H27" s="524">
        <f t="shared" si="24"/>
        <v>14</v>
      </c>
      <c r="I27" s="524">
        <f t="shared" si="24"/>
        <v>14</v>
      </c>
      <c r="J27" s="488"/>
      <c r="K27" s="489">
        <f t="shared" si="4"/>
        <v>14000</v>
      </c>
      <c r="L27" s="489">
        <f t="shared" si="5"/>
        <v>280000</v>
      </c>
      <c r="M27" s="489">
        <f t="shared" si="6"/>
        <v>420000</v>
      </c>
      <c r="N27" s="489">
        <f t="shared" si="7"/>
        <v>560000</v>
      </c>
      <c r="O27" s="489">
        <f t="shared" si="8"/>
        <v>700000</v>
      </c>
      <c r="P27" s="489">
        <f t="shared" si="9"/>
        <v>1050000</v>
      </c>
      <c r="Q27" s="489">
        <f t="shared" si="10"/>
        <v>1400000</v>
      </c>
      <c r="R27" s="488"/>
      <c r="S27" s="490">
        <v>0.10639999999999999</v>
      </c>
      <c r="T27" s="491">
        <v>10000</v>
      </c>
      <c r="U27" s="492">
        <v>0.9</v>
      </c>
      <c r="V27" s="488"/>
      <c r="W27" s="493">
        <f t="shared" si="11"/>
        <v>0.10287949514398768</v>
      </c>
      <c r="X27" s="493">
        <f t="shared" si="12"/>
        <v>7.6247537957940217E-2</v>
      </c>
      <c r="Y27" s="493">
        <f t="shared" si="13"/>
        <v>7.321780397381715E-2</v>
      </c>
      <c r="Z27" s="493">
        <f t="shared" si="14"/>
        <v>7.1141468438213229E-2</v>
      </c>
      <c r="AA27" s="493">
        <f t="shared" si="15"/>
        <v>6.9571573187991231E-2</v>
      </c>
      <c r="AB27" s="493">
        <f t="shared" si="16"/>
        <v>6.6807111996695673E-2</v>
      </c>
      <c r="AC27" s="493">
        <f t="shared" si="17"/>
        <v>6.4912573057513398E-2</v>
      </c>
      <c r="AD27" s="488"/>
      <c r="AE27" s="494">
        <f t="shared" si="20"/>
        <v>1.4403129320158277</v>
      </c>
      <c r="AF27" s="494">
        <f t="shared" si="18"/>
        <v>1.067465531411163</v>
      </c>
      <c r="AG27" s="494">
        <f t="shared" si="18"/>
        <v>1.0250492556334401</v>
      </c>
      <c r="AH27" s="494">
        <f t="shared" si="18"/>
        <v>0.99598055813498521</v>
      </c>
      <c r="AI27" s="494">
        <f t="shared" si="18"/>
        <v>0.97400202463187724</v>
      </c>
      <c r="AJ27" s="494">
        <f t="shared" si="18"/>
        <v>0.93529956795373947</v>
      </c>
      <c r="AK27" s="507">
        <f t="shared" si="18"/>
        <v>0.90877602280518754</v>
      </c>
    </row>
    <row r="28" spans="2:37" s="487" customFormat="1">
      <c r="B28" s="506" t="s">
        <v>762</v>
      </c>
      <c r="C28" s="524">
        <f t="shared" ref="C28:I28" si="25">$C$141</f>
        <v>1</v>
      </c>
      <c r="D28" s="524">
        <f t="shared" si="25"/>
        <v>1</v>
      </c>
      <c r="E28" s="524">
        <f t="shared" si="25"/>
        <v>1</v>
      </c>
      <c r="F28" s="524">
        <f t="shared" si="25"/>
        <v>1</v>
      </c>
      <c r="G28" s="524">
        <f t="shared" si="25"/>
        <v>1</v>
      </c>
      <c r="H28" s="524">
        <f t="shared" si="25"/>
        <v>1</v>
      </c>
      <c r="I28" s="524">
        <f t="shared" si="25"/>
        <v>1</v>
      </c>
      <c r="J28" s="488"/>
      <c r="K28" s="489">
        <f t="shared" si="4"/>
        <v>1000</v>
      </c>
      <c r="L28" s="489">
        <f t="shared" si="5"/>
        <v>20000</v>
      </c>
      <c r="M28" s="489">
        <f t="shared" si="6"/>
        <v>30000</v>
      </c>
      <c r="N28" s="489">
        <f t="shared" si="7"/>
        <v>40000</v>
      </c>
      <c r="O28" s="489">
        <f t="shared" si="8"/>
        <v>50000</v>
      </c>
      <c r="P28" s="489">
        <f t="shared" si="9"/>
        <v>75000</v>
      </c>
      <c r="Q28" s="489">
        <f t="shared" si="10"/>
        <v>100000</v>
      </c>
      <c r="R28" s="488"/>
      <c r="S28" s="490">
        <v>0.36854999999999999</v>
      </c>
      <c r="T28" s="491">
        <v>25000</v>
      </c>
      <c r="U28" s="492">
        <v>0.9</v>
      </c>
      <c r="V28" s="488"/>
      <c r="W28" s="493">
        <f t="shared" si="11"/>
        <v>0.50849936673153062</v>
      </c>
      <c r="X28" s="493">
        <f t="shared" si="12"/>
        <v>0.37686639803380478</v>
      </c>
      <c r="Y28" s="493">
        <f t="shared" si="13"/>
        <v>0.3618914235732929</v>
      </c>
      <c r="Z28" s="493">
        <f t="shared" si="14"/>
        <v>0.35162878276718207</v>
      </c>
      <c r="AA28" s="493">
        <f t="shared" si="15"/>
        <v>0.34386930903089036</v>
      </c>
      <c r="AB28" s="493">
        <f t="shared" si="16"/>
        <v>0.3302054903743129</v>
      </c>
      <c r="AC28" s="493">
        <f t="shared" si="17"/>
        <v>0.32084141010278655</v>
      </c>
      <c r="AD28" s="488"/>
      <c r="AE28" s="494">
        <f t="shared" si="20"/>
        <v>0.50849936673153062</v>
      </c>
      <c r="AF28" s="494">
        <f t="shared" si="18"/>
        <v>0.37686639803380478</v>
      </c>
      <c r="AG28" s="494">
        <f t="shared" si="18"/>
        <v>0.3618914235732929</v>
      </c>
      <c r="AH28" s="494">
        <f t="shared" si="18"/>
        <v>0.35162878276718207</v>
      </c>
      <c r="AI28" s="494">
        <f t="shared" si="18"/>
        <v>0.34386930903089036</v>
      </c>
      <c r="AJ28" s="494">
        <f t="shared" si="18"/>
        <v>0.3302054903743129</v>
      </c>
      <c r="AK28" s="507">
        <f t="shared" si="18"/>
        <v>0.32084141010278655</v>
      </c>
    </row>
    <row r="29" spans="2:37" s="487" customFormat="1">
      <c r="B29" s="506" t="s">
        <v>763</v>
      </c>
      <c r="C29" s="524">
        <f t="shared" ref="C29:I29" si="26">C18*$C$121</f>
        <v>13</v>
      </c>
      <c r="D29" s="524">
        <f t="shared" si="26"/>
        <v>13</v>
      </c>
      <c r="E29" s="524">
        <f t="shared" si="26"/>
        <v>13</v>
      </c>
      <c r="F29" s="524">
        <f t="shared" si="26"/>
        <v>13</v>
      </c>
      <c r="G29" s="524">
        <f t="shared" si="26"/>
        <v>13</v>
      </c>
      <c r="H29" s="524">
        <f t="shared" si="26"/>
        <v>13</v>
      </c>
      <c r="I29" s="524">
        <f t="shared" si="26"/>
        <v>13</v>
      </c>
      <c r="J29" s="488"/>
      <c r="K29" s="489">
        <f t="shared" si="4"/>
        <v>13000</v>
      </c>
      <c r="L29" s="489">
        <f t="shared" si="5"/>
        <v>260000</v>
      </c>
      <c r="M29" s="489">
        <f t="shared" si="6"/>
        <v>390000</v>
      </c>
      <c r="N29" s="489">
        <f t="shared" si="7"/>
        <v>520000</v>
      </c>
      <c r="O29" s="489">
        <f t="shared" si="8"/>
        <v>650000</v>
      </c>
      <c r="P29" s="489">
        <f t="shared" si="9"/>
        <v>975000</v>
      </c>
      <c r="Q29" s="489">
        <f t="shared" si="10"/>
        <v>1300000</v>
      </c>
      <c r="R29" s="488"/>
      <c r="S29" s="490">
        <v>3.95</v>
      </c>
      <c r="T29" s="491">
        <v>2000</v>
      </c>
      <c r="U29" s="492">
        <v>0.9</v>
      </c>
      <c r="V29" s="488"/>
      <c r="W29" s="493">
        <f t="shared" si="11"/>
        <v>3.2757123642082724</v>
      </c>
      <c r="X29" s="493">
        <f t="shared" si="12"/>
        <v>2.4277432784803157</v>
      </c>
      <c r="Y29" s="493">
        <f t="shared" si="13"/>
        <v>2.331275687361563</v>
      </c>
      <c r="Z29" s="493">
        <f t="shared" si="14"/>
        <v>2.2651645738038657</v>
      </c>
      <c r="AA29" s="493">
        <f t="shared" si="15"/>
        <v>2.2151786628653767</v>
      </c>
      <c r="AB29" s="493">
        <f t="shared" si="16"/>
        <v>2.1271574328619938</v>
      </c>
      <c r="AC29" s="493">
        <f t="shared" si="17"/>
        <v>2.0668347746017872</v>
      </c>
      <c r="AD29" s="488"/>
      <c r="AE29" s="494">
        <f t="shared" si="20"/>
        <v>42.584260734707541</v>
      </c>
      <c r="AF29" s="494">
        <f t="shared" si="18"/>
        <v>31.560662620244102</v>
      </c>
      <c r="AG29" s="494">
        <f t="shared" si="18"/>
        <v>30.306583935700317</v>
      </c>
      <c r="AH29" s="494">
        <f t="shared" si="18"/>
        <v>29.447139459450256</v>
      </c>
      <c r="AI29" s="494">
        <f t="shared" si="18"/>
        <v>28.797322617249897</v>
      </c>
      <c r="AJ29" s="494">
        <f t="shared" si="18"/>
        <v>27.653046627205917</v>
      </c>
      <c r="AK29" s="507">
        <f t="shared" si="18"/>
        <v>26.868852069823234</v>
      </c>
    </row>
    <row r="30" spans="2:37" s="487" customFormat="1">
      <c r="B30" s="506" t="s">
        <v>764</v>
      </c>
      <c r="C30" s="524">
        <f t="shared" ref="C30:I30" si="27">C18*$C$122</f>
        <v>13</v>
      </c>
      <c r="D30" s="524">
        <f t="shared" si="27"/>
        <v>13</v>
      </c>
      <c r="E30" s="524">
        <f t="shared" si="27"/>
        <v>13</v>
      </c>
      <c r="F30" s="524">
        <f t="shared" si="27"/>
        <v>13</v>
      </c>
      <c r="G30" s="524">
        <f t="shared" si="27"/>
        <v>13</v>
      </c>
      <c r="H30" s="524">
        <f t="shared" si="27"/>
        <v>13</v>
      </c>
      <c r="I30" s="524">
        <f t="shared" si="27"/>
        <v>13</v>
      </c>
      <c r="J30" s="488"/>
      <c r="K30" s="489">
        <f t="shared" si="4"/>
        <v>13000</v>
      </c>
      <c r="L30" s="489">
        <f t="shared" si="5"/>
        <v>260000</v>
      </c>
      <c r="M30" s="489">
        <f t="shared" si="6"/>
        <v>390000</v>
      </c>
      <c r="N30" s="489">
        <f t="shared" si="7"/>
        <v>520000</v>
      </c>
      <c r="O30" s="489">
        <f t="shared" si="8"/>
        <v>650000</v>
      </c>
      <c r="P30" s="489">
        <f t="shared" si="9"/>
        <v>975000</v>
      </c>
      <c r="Q30" s="489">
        <f t="shared" si="10"/>
        <v>1300000</v>
      </c>
      <c r="R30" s="488"/>
      <c r="S30" s="490">
        <v>2.95</v>
      </c>
      <c r="T30" s="491">
        <v>1000</v>
      </c>
      <c r="U30" s="492">
        <v>0.9</v>
      </c>
      <c r="V30" s="488"/>
      <c r="W30" s="493">
        <f t="shared" si="11"/>
        <v>2.2825887935302509</v>
      </c>
      <c r="X30" s="493">
        <f t="shared" si="12"/>
        <v>1.691705188030735</v>
      </c>
      <c r="Y30" s="493">
        <f t="shared" si="13"/>
        <v>1.6244844378719392</v>
      </c>
      <c r="Z30" s="493">
        <f t="shared" si="14"/>
        <v>1.5784167523866539</v>
      </c>
      <c r="AA30" s="493">
        <f t="shared" si="15"/>
        <v>1.5435854645760183</v>
      </c>
      <c r="AB30" s="493">
        <f t="shared" si="16"/>
        <v>1.4822503255712145</v>
      </c>
      <c r="AC30" s="493">
        <f t="shared" si="17"/>
        <v>1.4402161637060953</v>
      </c>
      <c r="AD30" s="488"/>
      <c r="AE30" s="494">
        <f t="shared" si="20"/>
        <v>29.673654315893263</v>
      </c>
      <c r="AF30" s="494">
        <f t="shared" si="18"/>
        <v>21.992167444399556</v>
      </c>
      <c r="AG30" s="494">
        <f t="shared" si="18"/>
        <v>21.118297692335208</v>
      </c>
      <c r="AH30" s="494">
        <f t="shared" si="18"/>
        <v>20.519417781026501</v>
      </c>
      <c r="AI30" s="494">
        <f t="shared" si="18"/>
        <v>20.066611039488237</v>
      </c>
      <c r="AJ30" s="494">
        <f t="shared" si="18"/>
        <v>19.269254232425787</v>
      </c>
      <c r="AK30" s="507">
        <f t="shared" si="18"/>
        <v>18.722810128179241</v>
      </c>
    </row>
    <row r="31" spans="2:37" s="487" customFormat="1">
      <c r="B31" s="506" t="s">
        <v>765</v>
      </c>
      <c r="C31" s="524">
        <f t="shared" ref="C31:I31" si="28">$C$142</f>
        <v>4</v>
      </c>
      <c r="D31" s="524">
        <f t="shared" si="28"/>
        <v>4</v>
      </c>
      <c r="E31" s="524">
        <f t="shared" si="28"/>
        <v>4</v>
      </c>
      <c r="F31" s="524">
        <f t="shared" si="28"/>
        <v>4</v>
      </c>
      <c r="G31" s="524">
        <f t="shared" si="28"/>
        <v>4</v>
      </c>
      <c r="H31" s="524">
        <f t="shared" si="28"/>
        <v>4</v>
      </c>
      <c r="I31" s="524">
        <f t="shared" si="28"/>
        <v>4</v>
      </c>
      <c r="J31" s="488"/>
      <c r="K31" s="489">
        <f t="shared" si="4"/>
        <v>4000</v>
      </c>
      <c r="L31" s="489">
        <f t="shared" si="5"/>
        <v>80000</v>
      </c>
      <c r="M31" s="489">
        <f t="shared" si="6"/>
        <v>120000</v>
      </c>
      <c r="N31" s="489">
        <f t="shared" si="7"/>
        <v>160000</v>
      </c>
      <c r="O31" s="489">
        <f t="shared" si="8"/>
        <v>200000</v>
      </c>
      <c r="P31" s="489">
        <f t="shared" si="9"/>
        <v>300000</v>
      </c>
      <c r="Q31" s="489">
        <f t="shared" si="10"/>
        <v>400000</v>
      </c>
      <c r="R31" s="488"/>
      <c r="S31" s="490">
        <v>0.52466999999999997</v>
      </c>
      <c r="T31" s="491">
        <v>12500</v>
      </c>
      <c r="U31" s="492">
        <v>0.9</v>
      </c>
      <c r="V31" s="488"/>
      <c r="W31" s="493">
        <f t="shared" si="11"/>
        <v>0.58799175274009685</v>
      </c>
      <c r="X31" s="493">
        <f t="shared" si="12"/>
        <v>0.43578094374646026</v>
      </c>
      <c r="Y31" s="493">
        <f t="shared" si="13"/>
        <v>0.4184649704014563</v>
      </c>
      <c r="Z31" s="493">
        <f t="shared" si="14"/>
        <v>0.40659799759849302</v>
      </c>
      <c r="AA31" s="493">
        <f t="shared" si="15"/>
        <v>0.39762550547550529</v>
      </c>
      <c r="AB31" s="493">
        <f t="shared" si="16"/>
        <v>0.38182565751768949</v>
      </c>
      <c r="AC31" s="493">
        <f t="shared" si="17"/>
        <v>0.37099771488514588</v>
      </c>
      <c r="AD31" s="488"/>
      <c r="AE31" s="494">
        <f t="shared" si="20"/>
        <v>2.3519670109603874</v>
      </c>
      <c r="AF31" s="494">
        <f t="shared" si="18"/>
        <v>1.743123774985841</v>
      </c>
      <c r="AG31" s="494">
        <f t="shared" si="18"/>
        <v>1.6738598816058252</v>
      </c>
      <c r="AH31" s="494">
        <f t="shared" si="18"/>
        <v>1.6263919903939721</v>
      </c>
      <c r="AI31" s="494">
        <f t="shared" si="18"/>
        <v>1.5905020219020212</v>
      </c>
      <c r="AJ31" s="494">
        <f t="shared" si="18"/>
        <v>1.5273026300707579</v>
      </c>
      <c r="AK31" s="507">
        <f t="shared" si="18"/>
        <v>1.4839908595405835</v>
      </c>
    </row>
    <row r="32" spans="2:37" s="487" customFormat="1">
      <c r="B32" s="506" t="s">
        <v>766</v>
      </c>
      <c r="C32" s="524">
        <f t="shared" ref="C32:I32" si="29">$C$143</f>
        <v>3</v>
      </c>
      <c r="D32" s="524">
        <f t="shared" si="29"/>
        <v>3</v>
      </c>
      <c r="E32" s="524">
        <f t="shared" si="29"/>
        <v>3</v>
      </c>
      <c r="F32" s="524">
        <f t="shared" si="29"/>
        <v>3</v>
      </c>
      <c r="G32" s="524">
        <f t="shared" si="29"/>
        <v>3</v>
      </c>
      <c r="H32" s="524">
        <f t="shared" si="29"/>
        <v>3</v>
      </c>
      <c r="I32" s="524">
        <f t="shared" si="29"/>
        <v>3</v>
      </c>
      <c r="J32" s="488"/>
      <c r="K32" s="489">
        <f t="shared" si="4"/>
        <v>3000</v>
      </c>
      <c r="L32" s="489">
        <f t="shared" si="5"/>
        <v>60000</v>
      </c>
      <c r="M32" s="489">
        <f t="shared" si="6"/>
        <v>90000</v>
      </c>
      <c r="N32" s="489">
        <f t="shared" si="7"/>
        <v>120000</v>
      </c>
      <c r="O32" s="489">
        <f t="shared" si="8"/>
        <v>150000</v>
      </c>
      <c r="P32" s="489">
        <f t="shared" si="9"/>
        <v>225000</v>
      </c>
      <c r="Q32" s="489">
        <f t="shared" si="10"/>
        <v>300000</v>
      </c>
      <c r="R32" s="488"/>
      <c r="S32" s="490">
        <v>0.63700000000000001</v>
      </c>
      <c r="T32" s="491">
        <v>12000</v>
      </c>
      <c r="U32" s="492">
        <v>0.9</v>
      </c>
      <c r="V32" s="488"/>
      <c r="W32" s="493">
        <f t="shared" si="11"/>
        <v>0.73172085213311122</v>
      </c>
      <c r="X32" s="493">
        <f t="shared" si="12"/>
        <v>0.54230353064573977</v>
      </c>
      <c r="Y32" s="493">
        <f t="shared" si="13"/>
        <v>0.52075482913338866</v>
      </c>
      <c r="Z32" s="493">
        <f t="shared" si="14"/>
        <v>0.50598708551936744</v>
      </c>
      <c r="AA32" s="493">
        <f t="shared" si="15"/>
        <v>0.49482135138892247</v>
      </c>
      <c r="AB32" s="493">
        <f t="shared" si="16"/>
        <v>0.47515937797281432</v>
      </c>
      <c r="AC32" s="493">
        <f t="shared" si="17"/>
        <v>0.46168464576269214</v>
      </c>
      <c r="AD32" s="488"/>
      <c r="AE32" s="494">
        <f t="shared" si="20"/>
        <v>2.1951625563993336</v>
      </c>
      <c r="AF32" s="494">
        <f t="shared" si="18"/>
        <v>1.6269105919372193</v>
      </c>
      <c r="AG32" s="494">
        <f t="shared" si="18"/>
        <v>1.5622644874001659</v>
      </c>
      <c r="AH32" s="494">
        <f t="shared" si="18"/>
        <v>1.5179612565581024</v>
      </c>
      <c r="AI32" s="494">
        <f t="shared" si="18"/>
        <v>1.4844640541667675</v>
      </c>
      <c r="AJ32" s="494">
        <f t="shared" si="18"/>
        <v>1.425478133918443</v>
      </c>
      <c r="AK32" s="507">
        <f t="shared" si="18"/>
        <v>1.3850539372880764</v>
      </c>
    </row>
    <row r="33" spans="2:37" s="487" customFormat="1">
      <c r="B33" s="506" t="s">
        <v>767</v>
      </c>
      <c r="C33" s="524">
        <f t="shared" ref="C33:I33" si="30">$C$144</f>
        <v>1</v>
      </c>
      <c r="D33" s="524">
        <f t="shared" si="30"/>
        <v>1</v>
      </c>
      <c r="E33" s="524">
        <f t="shared" si="30"/>
        <v>1</v>
      </c>
      <c r="F33" s="524">
        <f t="shared" si="30"/>
        <v>1</v>
      </c>
      <c r="G33" s="524">
        <f t="shared" si="30"/>
        <v>1</v>
      </c>
      <c r="H33" s="524">
        <f t="shared" si="30"/>
        <v>1</v>
      </c>
      <c r="I33" s="524">
        <f t="shared" si="30"/>
        <v>1</v>
      </c>
      <c r="J33" s="488"/>
      <c r="K33" s="489">
        <f t="shared" si="4"/>
        <v>1000</v>
      </c>
      <c r="L33" s="489">
        <f t="shared" si="5"/>
        <v>20000</v>
      </c>
      <c r="M33" s="489">
        <f t="shared" si="6"/>
        <v>30000</v>
      </c>
      <c r="N33" s="489">
        <f t="shared" si="7"/>
        <v>40000</v>
      </c>
      <c r="O33" s="489">
        <f t="shared" si="8"/>
        <v>50000</v>
      </c>
      <c r="P33" s="489">
        <f t="shared" si="9"/>
        <v>75000</v>
      </c>
      <c r="Q33" s="489">
        <f t="shared" si="10"/>
        <v>100000</v>
      </c>
      <c r="R33" s="488"/>
      <c r="S33" s="490">
        <v>0.78008</v>
      </c>
      <c r="T33" s="491">
        <v>5000</v>
      </c>
      <c r="U33" s="492">
        <v>0.9</v>
      </c>
      <c r="V33" s="488"/>
      <c r="W33" s="493">
        <f t="shared" si="11"/>
        <v>0.91629674512410186</v>
      </c>
      <c r="X33" s="493">
        <f t="shared" si="12"/>
        <v>0.67909908341604053</v>
      </c>
      <c r="Y33" s="493">
        <f t="shared" si="13"/>
        <v>0.65211474232495703</v>
      </c>
      <c r="Z33" s="493">
        <f t="shared" si="14"/>
        <v>0.63362184934957222</v>
      </c>
      <c r="AA33" s="493">
        <f t="shared" si="15"/>
        <v>0.61963956934371756</v>
      </c>
      <c r="AB33" s="493">
        <f t="shared" si="16"/>
        <v>0.59501788172694992</v>
      </c>
      <c r="AC33" s="493">
        <f t="shared" si="17"/>
        <v>0.57814416105934785</v>
      </c>
      <c r="AD33" s="488"/>
      <c r="AE33" s="494">
        <f t="shared" si="20"/>
        <v>0.91629674512410186</v>
      </c>
      <c r="AF33" s="494">
        <f t="shared" si="18"/>
        <v>0.67909908341604053</v>
      </c>
      <c r="AG33" s="494">
        <f t="shared" si="18"/>
        <v>0.65211474232495703</v>
      </c>
      <c r="AH33" s="494">
        <f t="shared" si="18"/>
        <v>0.63362184934957222</v>
      </c>
      <c r="AI33" s="494">
        <f t="shared" si="18"/>
        <v>0.61963956934371756</v>
      </c>
      <c r="AJ33" s="494">
        <f t="shared" si="18"/>
        <v>0.59501788172694992</v>
      </c>
      <c r="AK33" s="507">
        <f t="shared" si="18"/>
        <v>0.57814416105934785</v>
      </c>
    </row>
    <row r="34" spans="2:37" s="487" customFormat="1">
      <c r="B34" s="506" t="s">
        <v>768</v>
      </c>
      <c r="C34" s="524">
        <f t="shared" ref="C34:I34" si="31">C18*$C$123</f>
        <v>13</v>
      </c>
      <c r="D34" s="524">
        <f t="shared" si="31"/>
        <v>13</v>
      </c>
      <c r="E34" s="524">
        <f t="shared" si="31"/>
        <v>13</v>
      </c>
      <c r="F34" s="524">
        <f t="shared" si="31"/>
        <v>13</v>
      </c>
      <c r="G34" s="524">
        <f t="shared" si="31"/>
        <v>13</v>
      </c>
      <c r="H34" s="524">
        <f t="shared" si="31"/>
        <v>13</v>
      </c>
      <c r="I34" s="524">
        <f t="shared" si="31"/>
        <v>13</v>
      </c>
      <c r="J34" s="488"/>
      <c r="K34" s="489">
        <f t="shared" si="4"/>
        <v>13000</v>
      </c>
      <c r="L34" s="489">
        <f t="shared" si="5"/>
        <v>260000</v>
      </c>
      <c r="M34" s="489">
        <f t="shared" si="6"/>
        <v>390000</v>
      </c>
      <c r="N34" s="489">
        <f t="shared" si="7"/>
        <v>520000</v>
      </c>
      <c r="O34" s="489">
        <f t="shared" si="8"/>
        <v>650000</v>
      </c>
      <c r="P34" s="489">
        <f t="shared" si="9"/>
        <v>975000</v>
      </c>
      <c r="Q34" s="489">
        <f t="shared" si="10"/>
        <v>1300000</v>
      </c>
      <c r="R34" s="488"/>
      <c r="S34" s="490">
        <v>1.887</v>
      </c>
      <c r="T34" s="491">
        <v>500</v>
      </c>
      <c r="U34" s="492">
        <v>0.9</v>
      </c>
      <c r="V34" s="488"/>
      <c r="W34" s="493">
        <f t="shared" si="11"/>
        <v>1.3623056737112083</v>
      </c>
      <c r="X34" s="493">
        <f t="shared" si="12"/>
        <v>1.0096516650012257</v>
      </c>
      <c r="Y34" s="493">
        <f t="shared" si="13"/>
        <v>0.96953265206643369</v>
      </c>
      <c r="Z34" s="493">
        <f t="shared" si="14"/>
        <v>0.94203831340621214</v>
      </c>
      <c r="AA34" s="493">
        <f t="shared" si="15"/>
        <v>0.92125013590284799</v>
      </c>
      <c r="AB34" s="493">
        <f t="shared" si="16"/>
        <v>0.88464380185751135</v>
      </c>
      <c r="AC34" s="493">
        <f t="shared" si="17"/>
        <v>0.85955677025512467</v>
      </c>
      <c r="AD34" s="488"/>
      <c r="AE34" s="494">
        <f t="shared" si="20"/>
        <v>17.709973758245706</v>
      </c>
      <c r="AF34" s="494">
        <f t="shared" si="18"/>
        <v>13.125471645015935</v>
      </c>
      <c r="AG34" s="494">
        <f t="shared" si="18"/>
        <v>12.603924476863638</v>
      </c>
      <c r="AH34" s="494">
        <f t="shared" si="18"/>
        <v>12.246498074280758</v>
      </c>
      <c r="AI34" s="494">
        <f t="shared" si="18"/>
        <v>11.976251766737024</v>
      </c>
      <c r="AJ34" s="494">
        <f t="shared" si="18"/>
        <v>11.500369424147648</v>
      </c>
      <c r="AK34" s="507">
        <f t="shared" si="18"/>
        <v>11.174238013316621</v>
      </c>
    </row>
    <row r="35" spans="2:37" s="487" customFormat="1">
      <c r="B35" s="506" t="s">
        <v>769</v>
      </c>
      <c r="C35" s="524">
        <f>C18-2</f>
        <v>11</v>
      </c>
      <c r="D35" s="524">
        <f t="shared" ref="D35:I35" si="32">D18-2</f>
        <v>11</v>
      </c>
      <c r="E35" s="524">
        <f t="shared" si="32"/>
        <v>11</v>
      </c>
      <c r="F35" s="524">
        <f t="shared" si="32"/>
        <v>11</v>
      </c>
      <c r="G35" s="524">
        <f t="shared" si="32"/>
        <v>11</v>
      </c>
      <c r="H35" s="524">
        <f t="shared" si="32"/>
        <v>11</v>
      </c>
      <c r="I35" s="524">
        <f t="shared" si="32"/>
        <v>11</v>
      </c>
      <c r="J35" s="488"/>
      <c r="K35" s="489">
        <f t="shared" si="4"/>
        <v>11000</v>
      </c>
      <c r="L35" s="489">
        <f t="shared" si="5"/>
        <v>220000</v>
      </c>
      <c r="M35" s="489">
        <f t="shared" si="6"/>
        <v>330000</v>
      </c>
      <c r="N35" s="489">
        <f t="shared" si="7"/>
        <v>440000</v>
      </c>
      <c r="O35" s="489">
        <f t="shared" si="8"/>
        <v>550000</v>
      </c>
      <c r="P35" s="489">
        <f t="shared" si="9"/>
        <v>825000</v>
      </c>
      <c r="Q35" s="489">
        <f t="shared" si="10"/>
        <v>1100000</v>
      </c>
      <c r="R35" s="488"/>
      <c r="S35" s="490">
        <v>1.0900000000000001</v>
      </c>
      <c r="T35" s="491">
        <v>1000</v>
      </c>
      <c r="U35" s="492">
        <v>0.9</v>
      </c>
      <c r="V35" s="488"/>
      <c r="W35" s="493">
        <f>$S35*($T35/K35)^(1-$U35)</f>
        <v>0.85760485199448189</v>
      </c>
      <c r="X35" s="493">
        <f t="shared" si="12"/>
        <v>0.6356004995343757</v>
      </c>
      <c r="Y35" s="493">
        <f t="shared" si="13"/>
        <v>0.61034459638866179</v>
      </c>
      <c r="Z35" s="493">
        <f t="shared" si="14"/>
        <v>0.5930362355028479</v>
      </c>
      <c r="AA35" s="493">
        <f t="shared" si="15"/>
        <v>0.57994956763157612</v>
      </c>
      <c r="AB35" s="493">
        <f t="shared" si="16"/>
        <v>0.55690498204639827</v>
      </c>
      <c r="AC35" s="493">
        <f t="shared" si="17"/>
        <v>0.54111208002776745</v>
      </c>
      <c r="AD35" s="488"/>
      <c r="AE35" s="494">
        <f t="shared" si="20"/>
        <v>9.4336533719393003</v>
      </c>
      <c r="AF35" s="494">
        <f t="shared" si="18"/>
        <v>6.991605494878133</v>
      </c>
      <c r="AG35" s="494">
        <f t="shared" si="18"/>
        <v>6.7137905602752799</v>
      </c>
      <c r="AH35" s="494">
        <f t="shared" si="18"/>
        <v>6.5233985905313272</v>
      </c>
      <c r="AI35" s="494">
        <f t="shared" si="18"/>
        <v>6.3794452439473375</v>
      </c>
      <c r="AJ35" s="494">
        <f t="shared" si="18"/>
        <v>6.1259548025103809</v>
      </c>
      <c r="AK35" s="507">
        <f t="shared" si="18"/>
        <v>5.9522328803054423</v>
      </c>
    </row>
    <row r="36" spans="2:37" s="487" customFormat="1">
      <c r="B36" s="506" t="s">
        <v>770</v>
      </c>
      <c r="C36" s="524">
        <f t="shared" ref="C36:I36" si="33">ROUNDUP($C$124*C18,0)</f>
        <v>7</v>
      </c>
      <c r="D36" s="524">
        <f t="shared" si="33"/>
        <v>7</v>
      </c>
      <c r="E36" s="524">
        <f t="shared" si="33"/>
        <v>7</v>
      </c>
      <c r="F36" s="524">
        <f t="shared" si="33"/>
        <v>7</v>
      </c>
      <c r="G36" s="524">
        <f t="shared" si="33"/>
        <v>7</v>
      </c>
      <c r="H36" s="524">
        <f t="shared" si="33"/>
        <v>7</v>
      </c>
      <c r="I36" s="524">
        <f t="shared" si="33"/>
        <v>7</v>
      </c>
      <c r="J36" s="488"/>
      <c r="K36" s="489">
        <f t="shared" si="4"/>
        <v>7000</v>
      </c>
      <c r="L36" s="489">
        <f t="shared" si="5"/>
        <v>140000</v>
      </c>
      <c r="M36" s="489">
        <f t="shared" si="6"/>
        <v>210000</v>
      </c>
      <c r="N36" s="489">
        <f t="shared" si="7"/>
        <v>280000</v>
      </c>
      <c r="O36" s="489">
        <f t="shared" si="8"/>
        <v>350000</v>
      </c>
      <c r="P36" s="489">
        <f t="shared" si="9"/>
        <v>525000</v>
      </c>
      <c r="Q36" s="489">
        <f t="shared" si="10"/>
        <v>700000</v>
      </c>
      <c r="R36" s="488"/>
      <c r="S36" s="490">
        <v>1.581</v>
      </c>
      <c r="T36" s="491">
        <v>3000</v>
      </c>
      <c r="U36" s="492">
        <v>0.9</v>
      </c>
      <c r="V36" s="488"/>
      <c r="W36" s="493">
        <f t="shared" si="11"/>
        <v>1.4525603707054739</v>
      </c>
      <c r="X36" s="493">
        <f t="shared" si="12"/>
        <v>1.0765425301373852</v>
      </c>
      <c r="Y36" s="493">
        <f t="shared" si="13"/>
        <v>1.0337655752839676</v>
      </c>
      <c r="Z36" s="493">
        <f t="shared" si="14"/>
        <v>1.0044496974106882</v>
      </c>
      <c r="AA36" s="493">
        <f t="shared" si="15"/>
        <v>0.98228427345094105</v>
      </c>
      <c r="AB36" s="493">
        <f t="shared" si="16"/>
        <v>0.94325271748141459</v>
      </c>
      <c r="AC36" s="493">
        <f t="shared" si="17"/>
        <v>0.91650363419749103</v>
      </c>
      <c r="AD36" s="488"/>
      <c r="AE36" s="494">
        <f t="shared" si="20"/>
        <v>10.167922594938318</v>
      </c>
      <c r="AF36" s="494">
        <f t="shared" si="18"/>
        <v>7.5357977109616963</v>
      </c>
      <c r="AG36" s="494">
        <f t="shared" si="18"/>
        <v>7.2363590269877731</v>
      </c>
      <c r="AH36" s="494">
        <f t="shared" si="18"/>
        <v>7.0311478818748174</v>
      </c>
      <c r="AI36" s="494">
        <f t="shared" si="18"/>
        <v>6.8759899141565874</v>
      </c>
      <c r="AJ36" s="494">
        <f t="shared" si="18"/>
        <v>6.6027690223699018</v>
      </c>
      <c r="AK36" s="507">
        <f t="shared" si="18"/>
        <v>6.4155254393824368</v>
      </c>
    </row>
    <row r="37" spans="2:37" s="487" customFormat="1">
      <c r="B37" s="506" t="s">
        <v>771</v>
      </c>
      <c r="C37" s="524">
        <f t="shared" ref="C37:I37" si="34">ROUNDUP(C18*$C$125,0)</f>
        <v>5</v>
      </c>
      <c r="D37" s="524">
        <f t="shared" si="34"/>
        <v>5</v>
      </c>
      <c r="E37" s="524">
        <f t="shared" si="34"/>
        <v>5</v>
      </c>
      <c r="F37" s="524">
        <f t="shared" si="34"/>
        <v>5</v>
      </c>
      <c r="G37" s="524">
        <f t="shared" si="34"/>
        <v>5</v>
      </c>
      <c r="H37" s="524">
        <f t="shared" si="34"/>
        <v>5</v>
      </c>
      <c r="I37" s="524">
        <f t="shared" si="34"/>
        <v>5</v>
      </c>
      <c r="J37" s="488"/>
      <c r="K37" s="489">
        <f t="shared" si="4"/>
        <v>5000</v>
      </c>
      <c r="L37" s="489">
        <f t="shared" si="5"/>
        <v>100000</v>
      </c>
      <c r="M37" s="489">
        <f t="shared" si="6"/>
        <v>150000</v>
      </c>
      <c r="N37" s="489">
        <f t="shared" si="7"/>
        <v>200000</v>
      </c>
      <c r="O37" s="489">
        <f t="shared" si="8"/>
        <v>250000</v>
      </c>
      <c r="P37" s="489">
        <f t="shared" si="9"/>
        <v>375000</v>
      </c>
      <c r="Q37" s="489">
        <f t="shared" si="10"/>
        <v>500000</v>
      </c>
      <c r="R37" s="488"/>
      <c r="S37" s="490">
        <v>7.9829999999999998E-2</v>
      </c>
      <c r="T37" s="491">
        <v>125000</v>
      </c>
      <c r="U37" s="492">
        <v>0.9</v>
      </c>
      <c r="V37" s="488"/>
      <c r="W37" s="493">
        <f t="shared" si="11"/>
        <v>0.11014381887444877</v>
      </c>
      <c r="X37" s="493">
        <f t="shared" si="12"/>
        <v>8.1631378524050016E-2</v>
      </c>
      <c r="Y37" s="493">
        <f t="shared" si="13"/>
        <v>7.8387714947377479E-2</v>
      </c>
      <c r="Z37" s="493">
        <f t="shared" si="14"/>
        <v>7.6164769307567895E-2</v>
      </c>
      <c r="AA37" s="493">
        <f t="shared" si="15"/>
        <v>7.4484023714383341E-2</v>
      </c>
      <c r="AB37" s="493">
        <f t="shared" si="16"/>
        <v>7.1524363849088043E-2</v>
      </c>
      <c r="AC37" s="493">
        <f t="shared" si="17"/>
        <v>6.9496051467929587E-2</v>
      </c>
      <c r="AD37" s="488"/>
      <c r="AE37" s="494">
        <f t="shared" si="20"/>
        <v>0.55071909437224387</v>
      </c>
      <c r="AF37" s="494">
        <f t="shared" si="18"/>
        <v>0.40815689262025007</v>
      </c>
      <c r="AG37" s="494">
        <f t="shared" si="18"/>
        <v>0.39193857473688742</v>
      </c>
      <c r="AH37" s="494">
        <f t="shared" si="18"/>
        <v>0.38082384653783946</v>
      </c>
      <c r="AI37" s="494">
        <f t="shared" si="18"/>
        <v>0.3724201185719167</v>
      </c>
      <c r="AJ37" s="494">
        <f t="shared" si="18"/>
        <v>0.35762181924544023</v>
      </c>
      <c r="AK37" s="507">
        <f t="shared" si="18"/>
        <v>0.34748025733964794</v>
      </c>
    </row>
    <row r="38" spans="2:37" s="487" customFormat="1">
      <c r="B38" s="506" t="s">
        <v>772</v>
      </c>
      <c r="C38" s="524">
        <f t="shared" ref="C38:I38" si="35">$C$145</f>
        <v>1</v>
      </c>
      <c r="D38" s="524">
        <f t="shared" si="35"/>
        <v>1</v>
      </c>
      <c r="E38" s="524">
        <f t="shared" si="35"/>
        <v>1</v>
      </c>
      <c r="F38" s="524">
        <f t="shared" si="35"/>
        <v>1</v>
      </c>
      <c r="G38" s="524">
        <f t="shared" si="35"/>
        <v>1</v>
      </c>
      <c r="H38" s="524">
        <f t="shared" si="35"/>
        <v>1</v>
      </c>
      <c r="I38" s="524">
        <f t="shared" si="35"/>
        <v>1</v>
      </c>
      <c r="J38" s="488"/>
      <c r="K38" s="489">
        <f t="shared" si="4"/>
        <v>1000</v>
      </c>
      <c r="L38" s="489">
        <f t="shared" si="5"/>
        <v>20000</v>
      </c>
      <c r="M38" s="489">
        <f t="shared" si="6"/>
        <v>30000</v>
      </c>
      <c r="N38" s="489">
        <f t="shared" si="7"/>
        <v>40000</v>
      </c>
      <c r="O38" s="489">
        <f t="shared" si="8"/>
        <v>50000</v>
      </c>
      <c r="P38" s="489">
        <f t="shared" si="9"/>
        <v>75000</v>
      </c>
      <c r="Q38" s="489">
        <f t="shared" si="10"/>
        <v>100000</v>
      </c>
      <c r="R38" s="488"/>
      <c r="S38" s="490">
        <v>0.70223999999999998</v>
      </c>
      <c r="T38" s="491">
        <v>5000</v>
      </c>
      <c r="U38" s="492">
        <v>0.9</v>
      </c>
      <c r="V38" s="488"/>
      <c r="W38" s="493">
        <f t="shared" si="11"/>
        <v>0.82486440659413041</v>
      </c>
      <c r="X38" s="493">
        <f t="shared" si="12"/>
        <v>0.61133542756907022</v>
      </c>
      <c r="Y38" s="493">
        <f t="shared" si="13"/>
        <v>0.5870437091712104</v>
      </c>
      <c r="Z38" s="493">
        <f t="shared" si="14"/>
        <v>0.57039612281720287</v>
      </c>
      <c r="AA38" s="493">
        <f t="shared" si="15"/>
        <v>0.55780905955277948</v>
      </c>
      <c r="AB38" s="493">
        <f t="shared" si="16"/>
        <v>0.53564423810882644</v>
      </c>
      <c r="AC38" s="493">
        <f t="shared" si="17"/>
        <v>0.520454255540863</v>
      </c>
      <c r="AD38" s="488"/>
      <c r="AE38" s="494">
        <f t="shared" si="20"/>
        <v>0.82486440659413041</v>
      </c>
      <c r="AF38" s="494">
        <f t="shared" si="20"/>
        <v>0.61133542756907022</v>
      </c>
      <c r="AG38" s="494">
        <f t="shared" si="20"/>
        <v>0.5870437091712104</v>
      </c>
      <c r="AH38" s="494">
        <f t="shared" si="20"/>
        <v>0.57039612281720287</v>
      </c>
      <c r="AI38" s="494">
        <f t="shared" si="20"/>
        <v>0.55780905955277948</v>
      </c>
      <c r="AJ38" s="494">
        <f t="shared" si="20"/>
        <v>0.53564423810882644</v>
      </c>
      <c r="AK38" s="507">
        <f t="shared" si="20"/>
        <v>0.520454255540863</v>
      </c>
    </row>
    <row r="39" spans="2:37" s="487" customFormat="1">
      <c r="B39" s="506" t="s">
        <v>773</v>
      </c>
      <c r="C39" s="524">
        <f t="shared" ref="C39:I39" si="36">$C$146+$C$126*C18</f>
        <v>364</v>
      </c>
      <c r="D39" s="524">
        <f t="shared" si="36"/>
        <v>364</v>
      </c>
      <c r="E39" s="524">
        <f t="shared" si="36"/>
        <v>364</v>
      </c>
      <c r="F39" s="524">
        <f t="shared" si="36"/>
        <v>364</v>
      </c>
      <c r="G39" s="524">
        <f t="shared" si="36"/>
        <v>364</v>
      </c>
      <c r="H39" s="524">
        <f t="shared" si="36"/>
        <v>364</v>
      </c>
      <c r="I39" s="524">
        <f t="shared" si="36"/>
        <v>364</v>
      </c>
      <c r="J39" s="488"/>
      <c r="K39" s="489">
        <f t="shared" si="4"/>
        <v>364000</v>
      </c>
      <c r="L39" s="489">
        <f t="shared" si="5"/>
        <v>7280000</v>
      </c>
      <c r="M39" s="489">
        <f t="shared" si="6"/>
        <v>10920000</v>
      </c>
      <c r="N39" s="489">
        <f t="shared" si="7"/>
        <v>14560000</v>
      </c>
      <c r="O39" s="489">
        <f t="shared" si="8"/>
        <v>18200000</v>
      </c>
      <c r="P39" s="489">
        <f t="shared" si="9"/>
        <v>27300000</v>
      </c>
      <c r="Q39" s="489">
        <f t="shared" si="10"/>
        <v>36400000</v>
      </c>
      <c r="R39" s="488"/>
      <c r="S39" s="490">
        <v>4.3889999999999998E-2</v>
      </c>
      <c r="T39" s="491">
        <v>75000</v>
      </c>
      <c r="U39" s="492">
        <v>0.9</v>
      </c>
      <c r="V39" s="488"/>
      <c r="W39" s="493">
        <f t="shared" si="11"/>
        <v>3.747671955364635E-2</v>
      </c>
      <c r="X39" s="493">
        <f t="shared" si="12"/>
        <v>2.7775287900727266E-2</v>
      </c>
      <c r="Y39" s="493">
        <f t="shared" si="13"/>
        <v>2.6671622970352003E-2</v>
      </c>
      <c r="Z39" s="493">
        <f t="shared" si="14"/>
        <v>2.5915259960811659E-2</v>
      </c>
      <c r="AA39" s="493">
        <f t="shared" si="15"/>
        <v>2.5343381920986247E-2</v>
      </c>
      <c r="AB39" s="493">
        <f t="shared" si="16"/>
        <v>2.4336349988742383E-2</v>
      </c>
      <c r="AC39" s="493">
        <f t="shared" si="17"/>
        <v>2.3646211449397637E-2</v>
      </c>
      <c r="AD39" s="488"/>
      <c r="AE39" s="494">
        <f t="shared" si="20"/>
        <v>13.641525917527272</v>
      </c>
      <c r="AF39" s="494">
        <f t="shared" si="20"/>
        <v>10.110204795864725</v>
      </c>
      <c r="AG39" s="494">
        <f t="shared" si="20"/>
        <v>9.7084707612081296</v>
      </c>
      <c r="AH39" s="494">
        <f t="shared" si="20"/>
        <v>9.4331546257354439</v>
      </c>
      <c r="AI39" s="494">
        <f t="shared" si="20"/>
        <v>9.2249910192389937</v>
      </c>
      <c r="AJ39" s="494">
        <f t="shared" si="20"/>
        <v>8.8584313959022278</v>
      </c>
      <c r="AK39" s="507">
        <f t="shared" si="20"/>
        <v>8.6072209675807407</v>
      </c>
    </row>
    <row r="40" spans="2:37" s="487" customFormat="1">
      <c r="B40" s="506" t="s">
        <v>774</v>
      </c>
      <c r="C40" s="524">
        <f t="shared" ref="C40:I40" si="37">$C$147+$C$127*C18</f>
        <v>636</v>
      </c>
      <c r="D40" s="524">
        <f t="shared" si="37"/>
        <v>636</v>
      </c>
      <c r="E40" s="524">
        <f t="shared" si="37"/>
        <v>636</v>
      </c>
      <c r="F40" s="524">
        <f t="shared" si="37"/>
        <v>636</v>
      </c>
      <c r="G40" s="524">
        <f t="shared" si="37"/>
        <v>636</v>
      </c>
      <c r="H40" s="524">
        <f t="shared" si="37"/>
        <v>636</v>
      </c>
      <c r="I40" s="524">
        <f t="shared" si="37"/>
        <v>636</v>
      </c>
      <c r="J40" s="488"/>
      <c r="K40" s="489">
        <f t="shared" si="4"/>
        <v>636000</v>
      </c>
      <c r="L40" s="489">
        <f t="shared" si="5"/>
        <v>12720000</v>
      </c>
      <c r="M40" s="489">
        <f t="shared" si="6"/>
        <v>19080000</v>
      </c>
      <c r="N40" s="489">
        <f t="shared" si="7"/>
        <v>25440000</v>
      </c>
      <c r="O40" s="489">
        <f t="shared" si="8"/>
        <v>31800000</v>
      </c>
      <c r="P40" s="489">
        <f t="shared" si="9"/>
        <v>47700000</v>
      </c>
      <c r="Q40" s="489">
        <f t="shared" si="10"/>
        <v>63600000</v>
      </c>
      <c r="R40" s="488"/>
      <c r="S40" s="490">
        <v>1.18E-2</v>
      </c>
      <c r="T40" s="491">
        <v>50000</v>
      </c>
      <c r="U40" s="492">
        <v>0.9</v>
      </c>
      <c r="V40" s="488"/>
      <c r="W40" s="493">
        <f t="shared" si="11"/>
        <v>9.1502570856074449E-3</v>
      </c>
      <c r="X40" s="493">
        <f t="shared" si="12"/>
        <v>6.7815707443286194E-3</v>
      </c>
      <c r="Y40" s="493">
        <f t="shared" si="13"/>
        <v>6.512101645389832E-3</v>
      </c>
      <c r="Z40" s="493">
        <f t="shared" si="14"/>
        <v>6.3274292388994244E-3</v>
      </c>
      <c r="AA40" s="493">
        <f t="shared" si="15"/>
        <v>6.1878003933563894E-3</v>
      </c>
      <c r="AB40" s="493">
        <f t="shared" si="16"/>
        <v>5.9419250557282638E-3</v>
      </c>
      <c r="AC40" s="493">
        <f t="shared" si="17"/>
        <v>5.7734219120459456E-3</v>
      </c>
      <c r="AD40" s="488"/>
      <c r="AE40" s="494">
        <f t="shared" si="20"/>
        <v>5.8195635064463351</v>
      </c>
      <c r="AF40" s="494">
        <f t="shared" si="20"/>
        <v>4.3130789933930016</v>
      </c>
      <c r="AG40" s="494">
        <f t="shared" si="20"/>
        <v>4.141696646467933</v>
      </c>
      <c r="AH40" s="494">
        <f t="shared" si="20"/>
        <v>4.0242449959400339</v>
      </c>
      <c r="AI40" s="494">
        <f t="shared" si="20"/>
        <v>3.9354410501746635</v>
      </c>
      <c r="AJ40" s="494">
        <f t="shared" si="20"/>
        <v>3.7790643354431759</v>
      </c>
      <c r="AK40" s="507">
        <f t="shared" si="20"/>
        <v>3.6718963360612213</v>
      </c>
    </row>
    <row r="41" spans="2:37" s="487" customFormat="1">
      <c r="B41" s="506" t="s">
        <v>775</v>
      </c>
      <c r="C41" s="524">
        <f t="shared" ref="C41:I41" si="38">$C$128*C18+$C$148</f>
        <v>636</v>
      </c>
      <c r="D41" s="524">
        <f t="shared" si="38"/>
        <v>636</v>
      </c>
      <c r="E41" s="524">
        <f t="shared" si="38"/>
        <v>636</v>
      </c>
      <c r="F41" s="524">
        <f t="shared" si="38"/>
        <v>636</v>
      </c>
      <c r="G41" s="524">
        <f t="shared" si="38"/>
        <v>636</v>
      </c>
      <c r="H41" s="524">
        <f t="shared" si="38"/>
        <v>636</v>
      </c>
      <c r="I41" s="524">
        <f t="shared" si="38"/>
        <v>636</v>
      </c>
      <c r="J41" s="488"/>
      <c r="K41" s="489">
        <f t="shared" si="4"/>
        <v>636000</v>
      </c>
      <c r="L41" s="489">
        <f t="shared" si="5"/>
        <v>12720000</v>
      </c>
      <c r="M41" s="489">
        <f t="shared" si="6"/>
        <v>19080000</v>
      </c>
      <c r="N41" s="489">
        <f t="shared" si="7"/>
        <v>25440000</v>
      </c>
      <c r="O41" s="489">
        <f t="shared" si="8"/>
        <v>31800000</v>
      </c>
      <c r="P41" s="489">
        <f t="shared" si="9"/>
        <v>47700000</v>
      </c>
      <c r="Q41" s="489">
        <f t="shared" si="10"/>
        <v>63600000</v>
      </c>
      <c r="R41" s="488"/>
      <c r="S41" s="490">
        <v>1.18E-2</v>
      </c>
      <c r="T41" s="491">
        <v>50000</v>
      </c>
      <c r="U41" s="492">
        <v>0.9</v>
      </c>
      <c r="V41" s="488"/>
      <c r="W41" s="493">
        <f t="shared" si="11"/>
        <v>9.1502570856074449E-3</v>
      </c>
      <c r="X41" s="493">
        <f t="shared" si="12"/>
        <v>6.7815707443286194E-3</v>
      </c>
      <c r="Y41" s="493">
        <f t="shared" si="13"/>
        <v>6.512101645389832E-3</v>
      </c>
      <c r="Z41" s="493">
        <f t="shared" si="14"/>
        <v>6.3274292388994244E-3</v>
      </c>
      <c r="AA41" s="493">
        <f t="shared" si="15"/>
        <v>6.1878003933563894E-3</v>
      </c>
      <c r="AB41" s="493">
        <f t="shared" si="16"/>
        <v>5.9419250557282638E-3</v>
      </c>
      <c r="AC41" s="493">
        <f t="shared" si="17"/>
        <v>5.7734219120459456E-3</v>
      </c>
      <c r="AD41" s="488"/>
      <c r="AE41" s="494">
        <f t="shared" si="20"/>
        <v>5.8195635064463351</v>
      </c>
      <c r="AF41" s="494">
        <f t="shared" si="20"/>
        <v>4.3130789933930016</v>
      </c>
      <c r="AG41" s="494">
        <f t="shared" si="20"/>
        <v>4.141696646467933</v>
      </c>
      <c r="AH41" s="494">
        <f t="shared" si="20"/>
        <v>4.0242449959400339</v>
      </c>
      <c r="AI41" s="494">
        <f t="shared" si="20"/>
        <v>3.9354410501746635</v>
      </c>
      <c r="AJ41" s="494">
        <f t="shared" si="20"/>
        <v>3.7790643354431759</v>
      </c>
      <c r="AK41" s="507">
        <f t="shared" si="20"/>
        <v>3.6718963360612213</v>
      </c>
    </row>
    <row r="42" spans="2:37" s="487" customFormat="1">
      <c r="B42" s="506" t="s">
        <v>776</v>
      </c>
      <c r="C42" s="524">
        <f t="shared" ref="C42:I42" si="39">$C$149+$C$129*C18</f>
        <v>268</v>
      </c>
      <c r="D42" s="524">
        <f t="shared" si="39"/>
        <v>268</v>
      </c>
      <c r="E42" s="524">
        <f t="shared" si="39"/>
        <v>268</v>
      </c>
      <c r="F42" s="524">
        <f t="shared" si="39"/>
        <v>268</v>
      </c>
      <c r="G42" s="524">
        <f t="shared" si="39"/>
        <v>268</v>
      </c>
      <c r="H42" s="524">
        <f t="shared" si="39"/>
        <v>268</v>
      </c>
      <c r="I42" s="524">
        <f t="shared" si="39"/>
        <v>268</v>
      </c>
      <c r="J42" s="488"/>
      <c r="K42" s="489">
        <f t="shared" si="4"/>
        <v>268000</v>
      </c>
      <c r="L42" s="489">
        <f t="shared" si="5"/>
        <v>5360000</v>
      </c>
      <c r="M42" s="489">
        <f t="shared" si="6"/>
        <v>8040000</v>
      </c>
      <c r="N42" s="489">
        <f t="shared" si="7"/>
        <v>10720000</v>
      </c>
      <c r="O42" s="489">
        <f t="shared" si="8"/>
        <v>13400000</v>
      </c>
      <c r="P42" s="489">
        <f t="shared" si="9"/>
        <v>20100000</v>
      </c>
      <c r="Q42" s="489">
        <f t="shared" si="10"/>
        <v>26800000</v>
      </c>
      <c r="R42" s="488"/>
      <c r="S42" s="490">
        <v>0.31900000000000001</v>
      </c>
      <c r="T42" s="491">
        <v>1000</v>
      </c>
      <c r="U42" s="492">
        <v>0.9</v>
      </c>
      <c r="V42" s="488"/>
      <c r="W42" s="493">
        <f t="shared" si="11"/>
        <v>0.18237999675878638</v>
      </c>
      <c r="X42" s="493">
        <f t="shared" si="12"/>
        <v>0.13516809842595004</v>
      </c>
      <c r="Y42" s="493">
        <f t="shared" si="13"/>
        <v>0.12979712655802833</v>
      </c>
      <c r="Z42" s="493">
        <f t="shared" si="14"/>
        <v>0.1261162952347058</v>
      </c>
      <c r="AA42" s="493">
        <f t="shared" si="15"/>
        <v>0.12333325775725321</v>
      </c>
      <c r="AB42" s="493">
        <f t="shared" si="16"/>
        <v>0.11843254919134669</v>
      </c>
      <c r="AC42" s="493">
        <f t="shared" si="17"/>
        <v>0.11507399844123012</v>
      </c>
      <c r="AD42" s="488"/>
      <c r="AE42" s="494">
        <f t="shared" si="20"/>
        <v>48.877839131354747</v>
      </c>
      <c r="AF42" s="494">
        <f t="shared" si="20"/>
        <v>36.225050378154613</v>
      </c>
      <c r="AG42" s="494">
        <f t="shared" si="20"/>
        <v>34.785629917551596</v>
      </c>
      <c r="AH42" s="494">
        <f t="shared" si="20"/>
        <v>33.799167122901153</v>
      </c>
      <c r="AI42" s="494">
        <f t="shared" si="20"/>
        <v>33.053313078943859</v>
      </c>
      <c r="AJ42" s="494">
        <f t="shared" si="20"/>
        <v>31.739923183280911</v>
      </c>
      <c r="AK42" s="507">
        <f t="shared" si="20"/>
        <v>30.839831582249673</v>
      </c>
    </row>
    <row r="43" spans="2:37" s="487" customFormat="1">
      <c r="B43" s="506" t="s">
        <v>777</v>
      </c>
      <c r="C43" s="524">
        <f t="shared" ref="C43:I43" si="40">$C$150+$C$130*C18</f>
        <v>15</v>
      </c>
      <c r="D43" s="524">
        <f t="shared" si="40"/>
        <v>15</v>
      </c>
      <c r="E43" s="524">
        <f t="shared" si="40"/>
        <v>15</v>
      </c>
      <c r="F43" s="524">
        <f t="shared" si="40"/>
        <v>15</v>
      </c>
      <c r="G43" s="524">
        <f t="shared" si="40"/>
        <v>15</v>
      </c>
      <c r="H43" s="524">
        <f t="shared" si="40"/>
        <v>15</v>
      </c>
      <c r="I43" s="524">
        <f t="shared" si="40"/>
        <v>15</v>
      </c>
      <c r="J43" s="488"/>
      <c r="K43" s="489">
        <f t="shared" si="4"/>
        <v>15000</v>
      </c>
      <c r="L43" s="489">
        <f t="shared" si="5"/>
        <v>300000</v>
      </c>
      <c r="M43" s="489">
        <f t="shared" si="6"/>
        <v>450000</v>
      </c>
      <c r="N43" s="489">
        <f t="shared" si="7"/>
        <v>600000</v>
      </c>
      <c r="O43" s="489">
        <f t="shared" si="8"/>
        <v>750000</v>
      </c>
      <c r="P43" s="489">
        <f t="shared" si="9"/>
        <v>1125000</v>
      </c>
      <c r="Q43" s="489">
        <f t="shared" si="10"/>
        <v>1500000</v>
      </c>
      <c r="R43" s="488"/>
      <c r="S43" s="490">
        <v>3.7379999999999997E-2</v>
      </c>
      <c r="T43" s="491">
        <v>100000</v>
      </c>
      <c r="U43" s="492">
        <v>0.9</v>
      </c>
      <c r="V43" s="488"/>
      <c r="W43" s="493">
        <f t="shared" si="11"/>
        <v>4.5188733662567683E-2</v>
      </c>
      <c r="X43" s="493">
        <f t="shared" si="12"/>
        <v>3.3490927228847688E-2</v>
      </c>
      <c r="Y43" s="493">
        <f t="shared" si="13"/>
        <v>3.2160148516477929E-2</v>
      </c>
      <c r="Z43" s="493">
        <f t="shared" si="14"/>
        <v>3.1248140021673278E-2</v>
      </c>
      <c r="AA43" s="493">
        <f t="shared" si="15"/>
        <v>3.0558580083212036E-2</v>
      </c>
      <c r="AB43" s="493">
        <f t="shared" si="16"/>
        <v>2.9344319648524627E-2</v>
      </c>
      <c r="AC43" s="493">
        <f t="shared" si="17"/>
        <v>2.8512163392156429E-2</v>
      </c>
      <c r="AD43" s="488"/>
      <c r="AE43" s="494">
        <f t="shared" si="20"/>
        <v>0.67783100493851522</v>
      </c>
      <c r="AF43" s="494">
        <f t="shared" si="20"/>
        <v>0.50236390843271528</v>
      </c>
      <c r="AG43" s="494">
        <f t="shared" si="20"/>
        <v>0.48240222774716895</v>
      </c>
      <c r="AH43" s="494">
        <f t="shared" si="20"/>
        <v>0.4687221003250992</v>
      </c>
      <c r="AI43" s="494">
        <f t="shared" si="20"/>
        <v>0.45837870124818053</v>
      </c>
      <c r="AJ43" s="494">
        <f t="shared" si="20"/>
        <v>0.4401647947278694</v>
      </c>
      <c r="AK43" s="507">
        <f t="shared" si="20"/>
        <v>0.42768245088234641</v>
      </c>
    </row>
    <row r="44" spans="2:37" s="487" customFormat="1">
      <c r="B44" s="506" t="s">
        <v>778</v>
      </c>
      <c r="C44" s="524">
        <f t="shared" ref="C44:I44" si="41">$C$151+$C$131*C18</f>
        <v>429</v>
      </c>
      <c r="D44" s="524">
        <f t="shared" si="41"/>
        <v>429</v>
      </c>
      <c r="E44" s="524">
        <f t="shared" si="41"/>
        <v>429</v>
      </c>
      <c r="F44" s="524">
        <f t="shared" si="41"/>
        <v>429</v>
      </c>
      <c r="G44" s="524">
        <f t="shared" si="41"/>
        <v>429</v>
      </c>
      <c r="H44" s="524">
        <f t="shared" si="41"/>
        <v>429</v>
      </c>
      <c r="I44" s="524">
        <f t="shared" si="41"/>
        <v>429</v>
      </c>
      <c r="J44" s="488"/>
      <c r="K44" s="489">
        <f t="shared" si="4"/>
        <v>429000</v>
      </c>
      <c r="L44" s="489">
        <f t="shared" si="5"/>
        <v>8580000</v>
      </c>
      <c r="M44" s="489">
        <f t="shared" si="6"/>
        <v>12870000</v>
      </c>
      <c r="N44" s="489">
        <f t="shared" si="7"/>
        <v>17160000</v>
      </c>
      <c r="O44" s="489">
        <f t="shared" si="8"/>
        <v>21450000</v>
      </c>
      <c r="P44" s="489">
        <f t="shared" si="9"/>
        <v>32175000</v>
      </c>
      <c r="Q44" s="489">
        <f t="shared" si="10"/>
        <v>42900000</v>
      </c>
      <c r="R44" s="488"/>
      <c r="S44" s="490">
        <v>2.2499999999999998E-3</v>
      </c>
      <c r="T44" s="491">
        <v>15000</v>
      </c>
      <c r="U44" s="492">
        <v>0.9</v>
      </c>
      <c r="V44" s="488"/>
      <c r="W44" s="493">
        <f t="shared" si="11"/>
        <v>1.6089624728030504E-3</v>
      </c>
      <c r="X44" s="493">
        <f t="shared" si="12"/>
        <v>1.1924575159146414E-3</v>
      </c>
      <c r="Y44" s="493">
        <f t="shared" si="13"/>
        <v>1.1450746212357014E-3</v>
      </c>
      <c r="Z44" s="493">
        <f t="shared" si="14"/>
        <v>1.1126022033543879E-3</v>
      </c>
      <c r="AA44" s="493">
        <f t="shared" si="15"/>
        <v>1.0880501530133189E-3</v>
      </c>
      <c r="AB44" s="493">
        <f t="shared" si="16"/>
        <v>1.0448159370202311E-3</v>
      </c>
      <c r="AC44" s="493">
        <f t="shared" si="17"/>
        <v>1.0151866892080979E-3</v>
      </c>
      <c r="AD44" s="488"/>
      <c r="AE44" s="494">
        <f t="shared" si="20"/>
        <v>0.69024490083250867</v>
      </c>
      <c r="AF44" s="494">
        <f t="shared" si="20"/>
        <v>0.51156427432738116</v>
      </c>
      <c r="AG44" s="494">
        <f t="shared" si="20"/>
        <v>0.49123701251011587</v>
      </c>
      <c r="AH44" s="494">
        <f t="shared" si="20"/>
        <v>0.47730634523903243</v>
      </c>
      <c r="AI44" s="494">
        <f t="shared" si="20"/>
        <v>0.4667735156427138</v>
      </c>
      <c r="AJ44" s="494">
        <f t="shared" si="20"/>
        <v>0.44822603698167912</v>
      </c>
      <c r="AK44" s="507">
        <f t="shared" si="20"/>
        <v>0.43551508967027397</v>
      </c>
    </row>
    <row r="45" spans="2:37" s="487" customFormat="1">
      <c r="B45" s="506" t="s">
        <v>779</v>
      </c>
      <c r="C45" s="524">
        <f t="shared" ref="C45:I45" si="42">$C$152+$C$132*C18</f>
        <v>415</v>
      </c>
      <c r="D45" s="524">
        <f t="shared" si="42"/>
        <v>415</v>
      </c>
      <c r="E45" s="524">
        <f t="shared" si="42"/>
        <v>415</v>
      </c>
      <c r="F45" s="524">
        <f t="shared" si="42"/>
        <v>415</v>
      </c>
      <c r="G45" s="524">
        <f t="shared" si="42"/>
        <v>415</v>
      </c>
      <c r="H45" s="524">
        <f t="shared" si="42"/>
        <v>415</v>
      </c>
      <c r="I45" s="524">
        <f t="shared" si="42"/>
        <v>415</v>
      </c>
      <c r="J45" s="488"/>
      <c r="K45" s="489">
        <f t="shared" si="4"/>
        <v>415000</v>
      </c>
      <c r="L45" s="489">
        <f t="shared" si="5"/>
        <v>8300000</v>
      </c>
      <c r="M45" s="489">
        <f t="shared" si="6"/>
        <v>12450000</v>
      </c>
      <c r="N45" s="489">
        <f t="shared" si="7"/>
        <v>16600000</v>
      </c>
      <c r="O45" s="489">
        <f t="shared" si="8"/>
        <v>20750000</v>
      </c>
      <c r="P45" s="489">
        <f t="shared" si="9"/>
        <v>31125000</v>
      </c>
      <c r="Q45" s="489">
        <f t="shared" si="10"/>
        <v>41500000</v>
      </c>
      <c r="R45" s="488"/>
      <c r="S45" s="490">
        <v>9.75E-3</v>
      </c>
      <c r="T45" s="491">
        <v>4000</v>
      </c>
      <c r="U45" s="492">
        <v>0.9</v>
      </c>
      <c r="V45" s="488"/>
      <c r="W45" s="493">
        <f t="shared" si="11"/>
        <v>6.1292283989588187E-3</v>
      </c>
      <c r="X45" s="493">
        <f t="shared" si="12"/>
        <v>4.5425823129130035E-3</v>
      </c>
      <c r="Y45" s="493">
        <f t="shared" si="13"/>
        <v>4.3620805370169656E-3</v>
      </c>
      <c r="Z45" s="493">
        <f t="shared" si="14"/>
        <v>4.2383791647194096E-3</v>
      </c>
      <c r="AA45" s="493">
        <f t="shared" si="15"/>
        <v>4.1448498706887172E-3</v>
      </c>
      <c r="AB45" s="493">
        <f t="shared" si="16"/>
        <v>3.9801521919355905E-3</v>
      </c>
      <c r="AC45" s="493">
        <f t="shared" si="17"/>
        <v>3.8672816743196433E-3</v>
      </c>
      <c r="AD45" s="488"/>
      <c r="AE45" s="494">
        <f t="shared" si="20"/>
        <v>2.54362978556791</v>
      </c>
      <c r="AF45" s="494">
        <f t="shared" si="20"/>
        <v>1.8851716598588966</v>
      </c>
      <c r="AG45" s="494">
        <f t="shared" si="20"/>
        <v>1.8102634228620407</v>
      </c>
      <c r="AH45" s="494">
        <f t="shared" si="20"/>
        <v>1.758927353358555</v>
      </c>
      <c r="AI45" s="494">
        <f t="shared" si="20"/>
        <v>1.7201126963358178</v>
      </c>
      <c r="AJ45" s="494">
        <f t="shared" si="20"/>
        <v>1.65176315965327</v>
      </c>
      <c r="AK45" s="507">
        <f t="shared" si="20"/>
        <v>1.604921894842652</v>
      </c>
    </row>
    <row r="46" spans="2:37" s="487" customFormat="1">
      <c r="B46" s="506" t="s">
        <v>780</v>
      </c>
      <c r="C46" s="524">
        <f t="shared" ref="C46:I46" si="43">$C$153+$C$133*C18</f>
        <v>38</v>
      </c>
      <c r="D46" s="524">
        <f t="shared" si="43"/>
        <v>38</v>
      </c>
      <c r="E46" s="524">
        <f t="shared" si="43"/>
        <v>38</v>
      </c>
      <c r="F46" s="524">
        <f t="shared" si="43"/>
        <v>38</v>
      </c>
      <c r="G46" s="524">
        <f t="shared" si="43"/>
        <v>38</v>
      </c>
      <c r="H46" s="524">
        <f t="shared" si="43"/>
        <v>38</v>
      </c>
      <c r="I46" s="524">
        <f t="shared" si="43"/>
        <v>38</v>
      </c>
      <c r="J46" s="488"/>
      <c r="K46" s="489">
        <f t="shared" si="4"/>
        <v>38000</v>
      </c>
      <c r="L46" s="489">
        <f t="shared" si="5"/>
        <v>760000</v>
      </c>
      <c r="M46" s="489">
        <f t="shared" si="6"/>
        <v>1140000</v>
      </c>
      <c r="N46" s="489">
        <f t="shared" si="7"/>
        <v>1520000</v>
      </c>
      <c r="O46" s="489">
        <f t="shared" si="8"/>
        <v>1900000</v>
      </c>
      <c r="P46" s="489">
        <f t="shared" si="9"/>
        <v>2850000</v>
      </c>
      <c r="Q46" s="489">
        <f t="shared" si="10"/>
        <v>3800000</v>
      </c>
      <c r="R46" s="488"/>
      <c r="S46" s="490">
        <v>4.1119999999999997E-2</v>
      </c>
      <c r="T46" s="491">
        <v>4000</v>
      </c>
      <c r="U46" s="492">
        <v>0.9</v>
      </c>
      <c r="V46" s="488"/>
      <c r="W46" s="493">
        <f t="shared" si="11"/>
        <v>3.2830745570305506E-2</v>
      </c>
      <c r="X46" s="493">
        <f t="shared" si="12"/>
        <v>2.4331996532018736E-2</v>
      </c>
      <c r="Y46" s="493">
        <f t="shared" si="13"/>
        <v>2.3365152503096957E-2</v>
      </c>
      <c r="Z46" s="493">
        <f t="shared" si="14"/>
        <v>2.2702555514332666E-2</v>
      </c>
      <c r="AA46" s="493">
        <f t="shared" si="15"/>
        <v>2.2201572967130871E-2</v>
      </c>
      <c r="AB46" s="493">
        <f t="shared" si="16"/>
        <v>2.1319382382083932E-2</v>
      </c>
      <c r="AC46" s="493">
        <f t="shared" si="17"/>
        <v>2.0714800042344831E-2</v>
      </c>
      <c r="AD46" s="488"/>
      <c r="AE46" s="494">
        <f t="shared" si="20"/>
        <v>1.2475683316716093</v>
      </c>
      <c r="AF46" s="494">
        <f t="shared" si="20"/>
        <v>0.92461586821671193</v>
      </c>
      <c r="AG46" s="494">
        <f t="shared" si="20"/>
        <v>0.88787579511768433</v>
      </c>
      <c r="AH46" s="494">
        <f t="shared" si="20"/>
        <v>0.86269710954464129</v>
      </c>
      <c r="AI46" s="494">
        <f t="shared" si="20"/>
        <v>0.84365977275097315</v>
      </c>
      <c r="AJ46" s="494">
        <f t="shared" si="20"/>
        <v>0.81013653051918944</v>
      </c>
      <c r="AK46" s="507">
        <f t="shared" si="20"/>
        <v>0.78716240160910356</v>
      </c>
    </row>
    <row r="47" spans="2:37" s="487" customFormat="1">
      <c r="B47" s="506" t="s">
        <v>781</v>
      </c>
      <c r="C47" s="524">
        <f t="shared" ref="C47:I47" si="44">$C$154+$C$134*C18</f>
        <v>196</v>
      </c>
      <c r="D47" s="524">
        <f t="shared" si="44"/>
        <v>196</v>
      </c>
      <c r="E47" s="524">
        <f t="shared" si="44"/>
        <v>196</v>
      </c>
      <c r="F47" s="524">
        <f t="shared" si="44"/>
        <v>196</v>
      </c>
      <c r="G47" s="524">
        <f t="shared" si="44"/>
        <v>196</v>
      </c>
      <c r="H47" s="524">
        <f t="shared" si="44"/>
        <v>196</v>
      </c>
      <c r="I47" s="524">
        <f t="shared" si="44"/>
        <v>196</v>
      </c>
      <c r="J47" s="488"/>
      <c r="K47" s="489">
        <f t="shared" si="4"/>
        <v>196000</v>
      </c>
      <c r="L47" s="489">
        <f t="shared" si="5"/>
        <v>3920000</v>
      </c>
      <c r="M47" s="489">
        <f t="shared" si="6"/>
        <v>5880000</v>
      </c>
      <c r="N47" s="489">
        <f t="shared" si="7"/>
        <v>7840000</v>
      </c>
      <c r="O47" s="489">
        <f t="shared" si="8"/>
        <v>9800000</v>
      </c>
      <c r="P47" s="489">
        <f t="shared" si="9"/>
        <v>14700000</v>
      </c>
      <c r="Q47" s="489">
        <f t="shared" si="10"/>
        <v>19600000</v>
      </c>
      <c r="R47" s="488"/>
      <c r="S47" s="490">
        <v>8.3739999999999995E-2</v>
      </c>
      <c r="T47" s="491">
        <v>30000</v>
      </c>
      <c r="U47" s="492">
        <v>0.9</v>
      </c>
      <c r="V47" s="488"/>
      <c r="W47" s="493">
        <f t="shared" si="11"/>
        <v>6.9409589335746896E-2</v>
      </c>
      <c r="X47" s="493">
        <f t="shared" si="12"/>
        <v>5.1441837755088239E-2</v>
      </c>
      <c r="Y47" s="493">
        <f t="shared" si="13"/>
        <v>4.9397770651724092E-2</v>
      </c>
      <c r="Z47" s="493">
        <f t="shared" si="14"/>
        <v>4.7996931770781071E-2</v>
      </c>
      <c r="AA47" s="493">
        <f t="shared" si="15"/>
        <v>4.6937772368165979E-2</v>
      </c>
      <c r="AB47" s="493">
        <f t="shared" si="16"/>
        <v>4.5072676551415676E-2</v>
      </c>
      <c r="AC47" s="493">
        <f t="shared" si="17"/>
        <v>4.3794490168743608E-2</v>
      </c>
      <c r="AD47" s="488"/>
      <c r="AE47" s="494">
        <f t="shared" si="20"/>
        <v>13.604279509806391</v>
      </c>
      <c r="AF47" s="494">
        <f t="shared" si="20"/>
        <v>10.082600199997295</v>
      </c>
      <c r="AG47" s="494">
        <f t="shared" si="20"/>
        <v>9.6819630477379217</v>
      </c>
      <c r="AH47" s="494">
        <f t="shared" si="20"/>
        <v>9.4073986270730892</v>
      </c>
      <c r="AI47" s="494">
        <f t="shared" si="20"/>
        <v>9.199803384160532</v>
      </c>
      <c r="AJ47" s="494">
        <f t="shared" si="20"/>
        <v>8.8342446040774725</v>
      </c>
      <c r="AK47" s="507">
        <f t="shared" si="20"/>
        <v>8.5837200730737475</v>
      </c>
    </row>
    <row r="48" spans="2:37" s="487" customFormat="1">
      <c r="B48" s="506" t="s">
        <v>782</v>
      </c>
      <c r="C48" s="524">
        <f t="shared" ref="C48:I48" si="45">$C$155</f>
        <v>2</v>
      </c>
      <c r="D48" s="524">
        <f t="shared" si="45"/>
        <v>2</v>
      </c>
      <c r="E48" s="524">
        <f t="shared" si="45"/>
        <v>2</v>
      </c>
      <c r="F48" s="524">
        <f t="shared" si="45"/>
        <v>2</v>
      </c>
      <c r="G48" s="524">
        <f t="shared" si="45"/>
        <v>2</v>
      </c>
      <c r="H48" s="524">
        <f t="shared" si="45"/>
        <v>2</v>
      </c>
      <c r="I48" s="524">
        <f t="shared" si="45"/>
        <v>2</v>
      </c>
      <c r="J48" s="488"/>
      <c r="K48" s="489">
        <f t="shared" si="4"/>
        <v>2000</v>
      </c>
      <c r="L48" s="489">
        <f t="shared" si="5"/>
        <v>40000</v>
      </c>
      <c r="M48" s="489">
        <f t="shared" si="6"/>
        <v>60000</v>
      </c>
      <c r="N48" s="489">
        <f t="shared" si="7"/>
        <v>80000</v>
      </c>
      <c r="O48" s="489">
        <f t="shared" si="8"/>
        <v>100000</v>
      </c>
      <c r="P48" s="489">
        <f t="shared" si="9"/>
        <v>150000</v>
      </c>
      <c r="Q48" s="489">
        <f t="shared" si="10"/>
        <v>200000</v>
      </c>
      <c r="R48" s="488"/>
      <c r="S48" s="490">
        <v>3.8400000000000001E-3</v>
      </c>
      <c r="T48" s="491">
        <v>125000</v>
      </c>
      <c r="U48" s="492">
        <v>0.9</v>
      </c>
      <c r="V48" s="488"/>
      <c r="W48" s="493">
        <f t="shared" si="11"/>
        <v>5.8065641190378596E-3</v>
      </c>
      <c r="X48" s="493">
        <f t="shared" si="12"/>
        <v>4.3034446995672939E-3</v>
      </c>
      <c r="Y48" s="493">
        <f t="shared" si="13"/>
        <v>4.1324451761169034E-3</v>
      </c>
      <c r="Z48" s="493">
        <f t="shared" si="14"/>
        <v>4.0152558819504889E-3</v>
      </c>
      <c r="AA48" s="493">
        <f t="shared" si="15"/>
        <v>3.9266503010441196E-3</v>
      </c>
      <c r="AB48" s="493">
        <f t="shared" si="16"/>
        <v>3.7706228911177446E-3</v>
      </c>
      <c r="AC48" s="493">
        <f t="shared" si="17"/>
        <v>3.6636942771021011E-3</v>
      </c>
      <c r="AD48" s="488"/>
      <c r="AE48" s="494">
        <f t="shared" si="20"/>
        <v>1.1613128238075719E-2</v>
      </c>
      <c r="AF48" s="494">
        <f t="shared" si="20"/>
        <v>8.6068893991345877E-3</v>
      </c>
      <c r="AG48" s="494">
        <f t="shared" si="20"/>
        <v>8.2648903522338068E-3</v>
      </c>
      <c r="AH48" s="494">
        <f t="shared" si="20"/>
        <v>8.0305117639009778E-3</v>
      </c>
      <c r="AI48" s="494">
        <f t="shared" si="20"/>
        <v>7.8533006020882392E-3</v>
      </c>
      <c r="AJ48" s="494">
        <f t="shared" si="20"/>
        <v>7.5412457822354893E-3</v>
      </c>
      <c r="AK48" s="507">
        <f t="shared" si="20"/>
        <v>7.3273885542042023E-3</v>
      </c>
    </row>
    <row r="49" spans="2:37" s="487" customFormat="1">
      <c r="B49" s="506" t="s">
        <v>783</v>
      </c>
      <c r="C49" s="524">
        <f t="shared" ref="C49:I49" si="46">$C$156</f>
        <v>1</v>
      </c>
      <c r="D49" s="524">
        <f t="shared" si="46"/>
        <v>1</v>
      </c>
      <c r="E49" s="524">
        <f t="shared" si="46"/>
        <v>1</v>
      </c>
      <c r="F49" s="524">
        <f t="shared" si="46"/>
        <v>1</v>
      </c>
      <c r="G49" s="524">
        <f t="shared" si="46"/>
        <v>1</v>
      </c>
      <c r="H49" s="524">
        <f t="shared" si="46"/>
        <v>1</v>
      </c>
      <c r="I49" s="524">
        <f t="shared" si="46"/>
        <v>1</v>
      </c>
      <c r="J49" s="488"/>
      <c r="K49" s="489">
        <f t="shared" si="4"/>
        <v>1000</v>
      </c>
      <c r="L49" s="489">
        <f t="shared" si="5"/>
        <v>20000</v>
      </c>
      <c r="M49" s="489">
        <f t="shared" si="6"/>
        <v>30000</v>
      </c>
      <c r="N49" s="489">
        <f t="shared" si="7"/>
        <v>40000</v>
      </c>
      <c r="O49" s="489">
        <f t="shared" si="8"/>
        <v>50000</v>
      </c>
      <c r="P49" s="489">
        <f t="shared" si="9"/>
        <v>75000</v>
      </c>
      <c r="Q49" s="489">
        <f t="shared" si="10"/>
        <v>100000</v>
      </c>
      <c r="R49" s="488"/>
      <c r="S49" s="490">
        <v>3</v>
      </c>
      <c r="T49" s="491">
        <v>10000</v>
      </c>
      <c r="U49" s="492">
        <v>0.9</v>
      </c>
      <c r="V49" s="488"/>
      <c r="W49" s="493">
        <f t="shared" si="11"/>
        <v>3.776776235382501</v>
      </c>
      <c r="X49" s="493">
        <f t="shared" si="12"/>
        <v>2.7990989746104225</v>
      </c>
      <c r="Y49" s="493">
        <f t="shared" si="13"/>
        <v>2.6878753795222865</v>
      </c>
      <c r="Z49" s="493">
        <f t="shared" si="14"/>
        <v>2.6116516898883724</v>
      </c>
      <c r="AA49" s="493">
        <f t="shared" si="15"/>
        <v>2.5540197675623539</v>
      </c>
      <c r="AB49" s="493">
        <f t="shared" si="16"/>
        <v>2.4525345171117205</v>
      </c>
      <c r="AC49" s="493">
        <f t="shared" si="17"/>
        <v>2.3829847041728449</v>
      </c>
      <c r="AD49" s="488"/>
      <c r="AE49" s="494">
        <f t="shared" si="20"/>
        <v>3.776776235382501</v>
      </c>
      <c r="AF49" s="494">
        <f t="shared" si="20"/>
        <v>2.7990989746104225</v>
      </c>
      <c r="AG49" s="494">
        <f t="shared" si="20"/>
        <v>2.6878753795222865</v>
      </c>
      <c r="AH49" s="494">
        <f t="shared" si="20"/>
        <v>2.6116516898883724</v>
      </c>
      <c r="AI49" s="494">
        <f t="shared" si="20"/>
        <v>2.5540197675623539</v>
      </c>
      <c r="AJ49" s="494">
        <f t="shared" si="20"/>
        <v>2.4525345171117205</v>
      </c>
      <c r="AK49" s="507">
        <f t="shared" si="20"/>
        <v>2.3829847041728449</v>
      </c>
    </row>
    <row r="50" spans="2:37" s="487" customFormat="1">
      <c r="B50" s="506" t="s">
        <v>784</v>
      </c>
      <c r="C50" s="524">
        <f t="shared" ref="C50:I50" si="47">$C$157</f>
        <v>1</v>
      </c>
      <c r="D50" s="524">
        <f t="shared" si="47"/>
        <v>1</v>
      </c>
      <c r="E50" s="524">
        <f t="shared" si="47"/>
        <v>1</v>
      </c>
      <c r="F50" s="524">
        <f t="shared" si="47"/>
        <v>1</v>
      </c>
      <c r="G50" s="524">
        <f t="shared" si="47"/>
        <v>1</v>
      </c>
      <c r="H50" s="524">
        <f t="shared" si="47"/>
        <v>1</v>
      </c>
      <c r="I50" s="524">
        <f t="shared" si="47"/>
        <v>1</v>
      </c>
      <c r="J50" s="488"/>
      <c r="K50" s="489">
        <f t="shared" si="4"/>
        <v>1000</v>
      </c>
      <c r="L50" s="489">
        <f t="shared" si="5"/>
        <v>20000</v>
      </c>
      <c r="M50" s="489">
        <f t="shared" si="6"/>
        <v>30000</v>
      </c>
      <c r="N50" s="489">
        <f t="shared" si="7"/>
        <v>40000</v>
      </c>
      <c r="O50" s="489">
        <f t="shared" si="8"/>
        <v>50000</v>
      </c>
      <c r="P50" s="489">
        <f t="shared" si="9"/>
        <v>75000</v>
      </c>
      <c r="Q50" s="489">
        <f t="shared" si="10"/>
        <v>100000</v>
      </c>
      <c r="R50" s="488"/>
      <c r="S50" s="490">
        <v>10</v>
      </c>
      <c r="T50" s="491">
        <v>10000</v>
      </c>
      <c r="U50" s="492">
        <v>0.9</v>
      </c>
      <c r="V50" s="488"/>
      <c r="W50" s="493">
        <f t="shared" si="11"/>
        <v>12.589254117941671</v>
      </c>
      <c r="X50" s="493">
        <f t="shared" si="12"/>
        <v>9.3303299153680737</v>
      </c>
      <c r="Y50" s="493">
        <f t="shared" si="13"/>
        <v>8.9595845984076217</v>
      </c>
      <c r="Z50" s="493">
        <f t="shared" si="14"/>
        <v>8.7055056329612412</v>
      </c>
      <c r="AA50" s="493">
        <f t="shared" si="15"/>
        <v>8.5133992252078468</v>
      </c>
      <c r="AB50" s="493">
        <f t="shared" si="16"/>
        <v>8.1751150570390685</v>
      </c>
      <c r="AC50" s="493">
        <f t="shared" si="17"/>
        <v>7.9432823472428158</v>
      </c>
      <c r="AD50" s="488"/>
      <c r="AE50" s="494">
        <f t="shared" si="20"/>
        <v>12.589254117941671</v>
      </c>
      <c r="AF50" s="494">
        <f t="shared" si="20"/>
        <v>9.3303299153680737</v>
      </c>
      <c r="AG50" s="494">
        <f t="shared" si="20"/>
        <v>8.9595845984076217</v>
      </c>
      <c r="AH50" s="494">
        <f t="shared" si="20"/>
        <v>8.7055056329612412</v>
      </c>
      <c r="AI50" s="494">
        <f t="shared" si="20"/>
        <v>8.5133992252078468</v>
      </c>
      <c r="AJ50" s="494">
        <f t="shared" si="20"/>
        <v>8.1751150570390685</v>
      </c>
      <c r="AK50" s="507">
        <f t="shared" si="20"/>
        <v>7.9432823472428158</v>
      </c>
    </row>
    <row r="51" spans="2:37" s="487" customFormat="1" ht="16">
      <c r="B51" s="504" t="s">
        <v>785</v>
      </c>
      <c r="C51" s="524"/>
      <c r="D51" s="524"/>
      <c r="E51" s="524"/>
      <c r="F51" s="524"/>
      <c r="G51" s="524"/>
      <c r="H51" s="524"/>
      <c r="I51" s="524"/>
      <c r="J51" s="488"/>
      <c r="K51" s="495"/>
      <c r="L51" s="495"/>
      <c r="M51" s="495"/>
      <c r="N51" s="495"/>
      <c r="O51" s="495"/>
      <c r="P51" s="495"/>
      <c r="Q51" s="495"/>
      <c r="R51" s="488"/>
      <c r="S51" s="490"/>
      <c r="T51" s="491"/>
      <c r="U51" s="492"/>
      <c r="V51" s="488"/>
      <c r="W51" s="496"/>
      <c r="X51" s="496"/>
      <c r="Y51" s="496"/>
      <c r="Z51" s="496"/>
      <c r="AA51" s="496"/>
      <c r="AB51" s="496"/>
      <c r="AC51" s="496"/>
      <c r="AD51" s="488"/>
      <c r="AE51" s="497">
        <f>SUM(AE52:AE59)</f>
        <v>206.49102308061151</v>
      </c>
      <c r="AF51" s="497">
        <f t="shared" ref="AF51:AK51" si="48">SUM(AF52:AF59)</f>
        <v>153.03761063637904</v>
      </c>
      <c r="AG51" s="497">
        <f t="shared" si="48"/>
        <v>146.95658478017637</v>
      </c>
      <c r="AH51" s="497">
        <f t="shared" si="48"/>
        <v>142.78913966970592</v>
      </c>
      <c r="AI51" s="497">
        <f t="shared" si="48"/>
        <v>139.63817867505838</v>
      </c>
      <c r="AJ51" s="497">
        <f t="shared" si="48"/>
        <v>134.0895859369395</v>
      </c>
      <c r="AK51" s="505">
        <f t="shared" si="48"/>
        <v>130.28702758194095</v>
      </c>
    </row>
    <row r="52" spans="2:37" s="487" customFormat="1">
      <c r="B52" s="506" t="s">
        <v>786</v>
      </c>
      <c r="C52" s="524">
        <f t="shared" ref="C52:I59" si="49">$C158</f>
        <v>2</v>
      </c>
      <c r="D52" s="524">
        <f t="shared" si="49"/>
        <v>2</v>
      </c>
      <c r="E52" s="524">
        <f t="shared" si="49"/>
        <v>2</v>
      </c>
      <c r="F52" s="524">
        <f t="shared" si="49"/>
        <v>2</v>
      </c>
      <c r="G52" s="524">
        <f t="shared" si="49"/>
        <v>2</v>
      </c>
      <c r="H52" s="524">
        <f t="shared" si="49"/>
        <v>2</v>
      </c>
      <c r="I52" s="524">
        <f t="shared" si="49"/>
        <v>2</v>
      </c>
      <c r="J52" s="488"/>
      <c r="K52" s="498">
        <f t="shared" ref="K52:Q59" si="50">C52*C$14</f>
        <v>2000</v>
      </c>
      <c r="L52" s="498">
        <f t="shared" si="50"/>
        <v>40000</v>
      </c>
      <c r="M52" s="498">
        <f t="shared" si="50"/>
        <v>60000</v>
      </c>
      <c r="N52" s="498">
        <f t="shared" si="50"/>
        <v>80000</v>
      </c>
      <c r="O52" s="498">
        <f t="shared" si="50"/>
        <v>100000</v>
      </c>
      <c r="P52" s="498">
        <f t="shared" si="50"/>
        <v>150000</v>
      </c>
      <c r="Q52" s="498">
        <f t="shared" si="50"/>
        <v>200000</v>
      </c>
      <c r="R52" s="488"/>
      <c r="S52" s="490">
        <v>77.27</v>
      </c>
      <c r="T52" s="491">
        <v>100</v>
      </c>
      <c r="U52" s="492">
        <v>0.9</v>
      </c>
      <c r="V52" s="488"/>
      <c r="W52" s="493">
        <f t="shared" ref="W52:AC59" si="51">$S52*($T52/K52)^(1-$U52)</f>
        <v>57.267458882493855</v>
      </c>
      <c r="X52" s="493">
        <f t="shared" si="51"/>
        <v>42.442886590631858</v>
      </c>
      <c r="Y52" s="493">
        <f t="shared" si="51"/>
        <v>40.756397304133834</v>
      </c>
      <c r="Z52" s="493">
        <f t="shared" si="51"/>
        <v>39.600613445114703</v>
      </c>
      <c r="AA52" s="493">
        <f t="shared" si="51"/>
        <v>38.726737542379333</v>
      </c>
      <c r="AB52" s="493">
        <f t="shared" si="51"/>
        <v>37.187911293444138</v>
      </c>
      <c r="AC52" s="493">
        <f t="shared" si="51"/>
        <v>36.133323781626977</v>
      </c>
      <c r="AD52" s="488"/>
      <c r="AE52" s="493">
        <f t="shared" ref="AE52:AK59" si="52">C52*W52</f>
        <v>114.53491776498771</v>
      </c>
      <c r="AF52" s="493">
        <f t="shared" si="52"/>
        <v>84.885773181263716</v>
      </c>
      <c r="AG52" s="493">
        <f t="shared" si="52"/>
        <v>81.512794608267669</v>
      </c>
      <c r="AH52" s="493">
        <f t="shared" si="52"/>
        <v>79.201226890229407</v>
      </c>
      <c r="AI52" s="493">
        <f t="shared" si="52"/>
        <v>77.453475084758665</v>
      </c>
      <c r="AJ52" s="493">
        <f t="shared" si="52"/>
        <v>74.375822586888276</v>
      </c>
      <c r="AK52" s="508">
        <f t="shared" si="52"/>
        <v>72.266647563253954</v>
      </c>
    </row>
    <row r="53" spans="2:37" s="487" customFormat="1">
      <c r="B53" s="506" t="s">
        <v>787</v>
      </c>
      <c r="C53" s="524">
        <f t="shared" si="49"/>
        <v>1</v>
      </c>
      <c r="D53" s="524">
        <f t="shared" si="49"/>
        <v>1</v>
      </c>
      <c r="E53" s="524">
        <f t="shared" si="49"/>
        <v>1</v>
      </c>
      <c r="F53" s="524">
        <f t="shared" si="49"/>
        <v>1</v>
      </c>
      <c r="G53" s="524">
        <f t="shared" si="49"/>
        <v>1</v>
      </c>
      <c r="H53" s="524">
        <f t="shared" si="49"/>
        <v>1</v>
      </c>
      <c r="I53" s="524">
        <f t="shared" si="49"/>
        <v>1</v>
      </c>
      <c r="J53" s="488"/>
      <c r="K53" s="498">
        <f t="shared" si="50"/>
        <v>1000</v>
      </c>
      <c r="L53" s="498">
        <f t="shared" si="50"/>
        <v>20000</v>
      </c>
      <c r="M53" s="498">
        <f t="shared" si="50"/>
        <v>30000</v>
      </c>
      <c r="N53" s="498">
        <f t="shared" si="50"/>
        <v>40000</v>
      </c>
      <c r="O53" s="498">
        <f t="shared" si="50"/>
        <v>50000</v>
      </c>
      <c r="P53" s="498">
        <f t="shared" si="50"/>
        <v>75000</v>
      </c>
      <c r="Q53" s="498">
        <f t="shared" si="50"/>
        <v>100000</v>
      </c>
      <c r="R53" s="488"/>
      <c r="S53" s="490">
        <v>10</v>
      </c>
      <c r="T53" s="491">
        <v>10000</v>
      </c>
      <c r="U53" s="492">
        <v>0.9</v>
      </c>
      <c r="V53" s="488"/>
      <c r="W53" s="493">
        <f t="shared" si="51"/>
        <v>12.589254117941671</v>
      </c>
      <c r="X53" s="493">
        <f t="shared" si="51"/>
        <v>9.3303299153680737</v>
      </c>
      <c r="Y53" s="493">
        <f t="shared" si="51"/>
        <v>8.9595845984076217</v>
      </c>
      <c r="Z53" s="493">
        <f t="shared" si="51"/>
        <v>8.7055056329612412</v>
      </c>
      <c r="AA53" s="493">
        <f t="shared" si="51"/>
        <v>8.5133992252078468</v>
      </c>
      <c r="AB53" s="493">
        <f t="shared" si="51"/>
        <v>8.1751150570390685</v>
      </c>
      <c r="AC53" s="493">
        <f t="shared" si="51"/>
        <v>7.9432823472428158</v>
      </c>
      <c r="AD53" s="488"/>
      <c r="AE53" s="493">
        <f t="shared" si="52"/>
        <v>12.589254117941671</v>
      </c>
      <c r="AF53" s="493">
        <f t="shared" si="52"/>
        <v>9.3303299153680737</v>
      </c>
      <c r="AG53" s="493">
        <f t="shared" si="52"/>
        <v>8.9595845984076217</v>
      </c>
      <c r="AH53" s="493">
        <f t="shared" si="52"/>
        <v>8.7055056329612412</v>
      </c>
      <c r="AI53" s="493">
        <f t="shared" si="52"/>
        <v>8.5133992252078468</v>
      </c>
      <c r="AJ53" s="493">
        <f t="shared" si="52"/>
        <v>8.1751150570390685</v>
      </c>
      <c r="AK53" s="508">
        <f t="shared" si="52"/>
        <v>7.9432823472428158</v>
      </c>
    </row>
    <row r="54" spans="2:37" s="487" customFormat="1">
      <c r="B54" s="506" t="s">
        <v>788</v>
      </c>
      <c r="C54" s="524">
        <f t="shared" si="49"/>
        <v>1</v>
      </c>
      <c r="D54" s="524">
        <f t="shared" si="49"/>
        <v>1</v>
      </c>
      <c r="E54" s="524">
        <f t="shared" si="49"/>
        <v>1</v>
      </c>
      <c r="F54" s="524">
        <f t="shared" si="49"/>
        <v>1</v>
      </c>
      <c r="G54" s="524">
        <f t="shared" si="49"/>
        <v>1</v>
      </c>
      <c r="H54" s="524">
        <f t="shared" si="49"/>
        <v>1</v>
      </c>
      <c r="I54" s="524">
        <f t="shared" si="49"/>
        <v>1</v>
      </c>
      <c r="J54" s="488"/>
      <c r="K54" s="498">
        <f t="shared" si="50"/>
        <v>1000</v>
      </c>
      <c r="L54" s="498">
        <f t="shared" si="50"/>
        <v>20000</v>
      </c>
      <c r="M54" s="498">
        <f t="shared" si="50"/>
        <v>30000</v>
      </c>
      <c r="N54" s="498">
        <f t="shared" si="50"/>
        <v>40000</v>
      </c>
      <c r="O54" s="498">
        <f t="shared" si="50"/>
        <v>50000</v>
      </c>
      <c r="P54" s="498">
        <f t="shared" si="50"/>
        <v>75000</v>
      </c>
      <c r="Q54" s="498">
        <f t="shared" si="50"/>
        <v>100000</v>
      </c>
      <c r="R54" s="488"/>
      <c r="S54" s="490">
        <v>10</v>
      </c>
      <c r="T54" s="491">
        <v>10000</v>
      </c>
      <c r="U54" s="492">
        <v>0.9</v>
      </c>
      <c r="V54" s="488"/>
      <c r="W54" s="493">
        <f t="shared" si="51"/>
        <v>12.589254117941671</v>
      </c>
      <c r="X54" s="493">
        <f t="shared" si="51"/>
        <v>9.3303299153680737</v>
      </c>
      <c r="Y54" s="493">
        <f t="shared" si="51"/>
        <v>8.9595845984076217</v>
      </c>
      <c r="Z54" s="493">
        <f t="shared" si="51"/>
        <v>8.7055056329612412</v>
      </c>
      <c r="AA54" s="493">
        <f t="shared" si="51"/>
        <v>8.5133992252078468</v>
      </c>
      <c r="AB54" s="493">
        <f t="shared" si="51"/>
        <v>8.1751150570390685</v>
      </c>
      <c r="AC54" s="493">
        <f t="shared" si="51"/>
        <v>7.9432823472428158</v>
      </c>
      <c r="AD54" s="488"/>
      <c r="AE54" s="493">
        <f t="shared" si="52"/>
        <v>12.589254117941671</v>
      </c>
      <c r="AF54" s="493">
        <f t="shared" si="52"/>
        <v>9.3303299153680737</v>
      </c>
      <c r="AG54" s="493">
        <f t="shared" si="52"/>
        <v>8.9595845984076217</v>
      </c>
      <c r="AH54" s="493">
        <f t="shared" si="52"/>
        <v>8.7055056329612412</v>
      </c>
      <c r="AI54" s="493">
        <f t="shared" si="52"/>
        <v>8.5133992252078468</v>
      </c>
      <c r="AJ54" s="493">
        <f t="shared" si="52"/>
        <v>8.1751150570390685</v>
      </c>
      <c r="AK54" s="508">
        <f t="shared" si="52"/>
        <v>7.9432823472428158</v>
      </c>
    </row>
    <row r="55" spans="2:37" s="487" customFormat="1">
      <c r="B55" s="506" t="s">
        <v>789</v>
      </c>
      <c r="C55" s="524">
        <f t="shared" si="49"/>
        <v>1</v>
      </c>
      <c r="D55" s="524">
        <f t="shared" si="49"/>
        <v>1</v>
      </c>
      <c r="E55" s="524">
        <f t="shared" si="49"/>
        <v>1</v>
      </c>
      <c r="F55" s="524">
        <f t="shared" si="49"/>
        <v>1</v>
      </c>
      <c r="G55" s="524">
        <f t="shared" si="49"/>
        <v>1</v>
      </c>
      <c r="H55" s="524">
        <f t="shared" si="49"/>
        <v>1</v>
      </c>
      <c r="I55" s="524">
        <f t="shared" si="49"/>
        <v>1</v>
      </c>
      <c r="J55" s="488"/>
      <c r="K55" s="498">
        <f t="shared" si="50"/>
        <v>1000</v>
      </c>
      <c r="L55" s="498">
        <f t="shared" si="50"/>
        <v>20000</v>
      </c>
      <c r="M55" s="498">
        <f t="shared" si="50"/>
        <v>30000</v>
      </c>
      <c r="N55" s="498">
        <f t="shared" si="50"/>
        <v>40000</v>
      </c>
      <c r="O55" s="498">
        <f t="shared" si="50"/>
        <v>50000</v>
      </c>
      <c r="P55" s="498">
        <f t="shared" si="50"/>
        <v>75000</v>
      </c>
      <c r="Q55" s="498">
        <f t="shared" si="50"/>
        <v>100000</v>
      </c>
      <c r="R55" s="488"/>
      <c r="S55" s="490">
        <v>4.4400000000000004</v>
      </c>
      <c r="T55" s="491">
        <v>1000</v>
      </c>
      <c r="U55" s="492">
        <v>0.9</v>
      </c>
      <c r="V55" s="488"/>
      <c r="W55" s="493">
        <f t="shared" si="51"/>
        <v>4.4400000000000004</v>
      </c>
      <c r="X55" s="493">
        <f t="shared" si="51"/>
        <v>3.2906369540348486</v>
      </c>
      <c r="Y55" s="493">
        <f t="shared" si="51"/>
        <v>3.1598818519546987</v>
      </c>
      <c r="Z55" s="493">
        <f t="shared" si="51"/>
        <v>3.0702728412847025</v>
      </c>
      <c r="AA55" s="493">
        <f t="shared" si="51"/>
        <v>3.0025204198597124</v>
      </c>
      <c r="AB55" s="493">
        <f t="shared" si="51"/>
        <v>2.8832137720950279</v>
      </c>
      <c r="AC55" s="493">
        <f t="shared" si="51"/>
        <v>2.8014506094920586</v>
      </c>
      <c r="AD55" s="488"/>
      <c r="AE55" s="493">
        <f t="shared" si="52"/>
        <v>4.4400000000000004</v>
      </c>
      <c r="AF55" s="493">
        <f t="shared" si="52"/>
        <v>3.2906369540348486</v>
      </c>
      <c r="AG55" s="493">
        <f t="shared" si="52"/>
        <v>3.1598818519546987</v>
      </c>
      <c r="AH55" s="493">
        <f t="shared" si="52"/>
        <v>3.0702728412847025</v>
      </c>
      <c r="AI55" s="493">
        <f t="shared" si="52"/>
        <v>3.0025204198597124</v>
      </c>
      <c r="AJ55" s="493">
        <f t="shared" si="52"/>
        <v>2.8832137720950279</v>
      </c>
      <c r="AK55" s="508">
        <f t="shared" si="52"/>
        <v>2.8014506094920586</v>
      </c>
    </row>
    <row r="56" spans="2:37" s="487" customFormat="1">
      <c r="B56" s="506" t="s">
        <v>790</v>
      </c>
      <c r="C56" s="524">
        <f t="shared" si="49"/>
        <v>1</v>
      </c>
      <c r="D56" s="524">
        <f t="shared" si="49"/>
        <v>1</v>
      </c>
      <c r="E56" s="524">
        <f t="shared" si="49"/>
        <v>1</v>
      </c>
      <c r="F56" s="524">
        <f t="shared" si="49"/>
        <v>1</v>
      </c>
      <c r="G56" s="524">
        <f t="shared" si="49"/>
        <v>1</v>
      </c>
      <c r="H56" s="524">
        <f t="shared" si="49"/>
        <v>1</v>
      </c>
      <c r="I56" s="524">
        <f t="shared" si="49"/>
        <v>1</v>
      </c>
      <c r="J56" s="488"/>
      <c r="K56" s="498">
        <f t="shared" si="50"/>
        <v>1000</v>
      </c>
      <c r="L56" s="498">
        <f t="shared" si="50"/>
        <v>20000</v>
      </c>
      <c r="M56" s="498">
        <f t="shared" si="50"/>
        <v>30000</v>
      </c>
      <c r="N56" s="498">
        <f t="shared" si="50"/>
        <v>40000</v>
      </c>
      <c r="O56" s="498">
        <f t="shared" si="50"/>
        <v>50000</v>
      </c>
      <c r="P56" s="498">
        <f t="shared" si="50"/>
        <v>75000</v>
      </c>
      <c r="Q56" s="498">
        <f t="shared" si="50"/>
        <v>100000</v>
      </c>
      <c r="R56" s="488"/>
      <c r="S56" s="490">
        <v>1</v>
      </c>
      <c r="T56" s="491">
        <v>10000</v>
      </c>
      <c r="U56" s="492">
        <v>0.9</v>
      </c>
      <c r="V56" s="488"/>
      <c r="W56" s="493">
        <f t="shared" si="51"/>
        <v>1.2589254117941671</v>
      </c>
      <c r="X56" s="493">
        <f t="shared" si="51"/>
        <v>0.93303299153680741</v>
      </c>
      <c r="Y56" s="493">
        <f t="shared" si="51"/>
        <v>0.89595845984076217</v>
      </c>
      <c r="Z56" s="493">
        <f t="shared" si="51"/>
        <v>0.87055056329612412</v>
      </c>
      <c r="AA56" s="493">
        <f t="shared" si="51"/>
        <v>0.85133992252078461</v>
      </c>
      <c r="AB56" s="493">
        <f t="shared" si="51"/>
        <v>0.81751150570390685</v>
      </c>
      <c r="AC56" s="493">
        <f t="shared" si="51"/>
        <v>0.7943282347242816</v>
      </c>
      <c r="AD56" s="488"/>
      <c r="AE56" s="493">
        <f t="shared" si="52"/>
        <v>1.2589254117941671</v>
      </c>
      <c r="AF56" s="493">
        <f t="shared" si="52"/>
        <v>0.93303299153680741</v>
      </c>
      <c r="AG56" s="493">
        <f t="shared" si="52"/>
        <v>0.89595845984076217</v>
      </c>
      <c r="AH56" s="493">
        <f t="shared" si="52"/>
        <v>0.87055056329612412</v>
      </c>
      <c r="AI56" s="493">
        <f t="shared" si="52"/>
        <v>0.85133992252078461</v>
      </c>
      <c r="AJ56" s="493">
        <f t="shared" si="52"/>
        <v>0.81751150570390685</v>
      </c>
      <c r="AK56" s="508">
        <f t="shared" si="52"/>
        <v>0.7943282347242816</v>
      </c>
    </row>
    <row r="57" spans="2:37" s="487" customFormat="1">
      <c r="B57" s="506" t="s">
        <v>791</v>
      </c>
      <c r="C57" s="524">
        <f t="shared" si="49"/>
        <v>1</v>
      </c>
      <c r="D57" s="524">
        <f t="shared" si="49"/>
        <v>1</v>
      </c>
      <c r="E57" s="524">
        <f t="shared" si="49"/>
        <v>1</v>
      </c>
      <c r="F57" s="524">
        <f t="shared" si="49"/>
        <v>1</v>
      </c>
      <c r="G57" s="524">
        <f t="shared" si="49"/>
        <v>1</v>
      </c>
      <c r="H57" s="524">
        <f t="shared" si="49"/>
        <v>1</v>
      </c>
      <c r="I57" s="524">
        <f t="shared" si="49"/>
        <v>1</v>
      </c>
      <c r="J57" s="488"/>
      <c r="K57" s="498">
        <f t="shared" si="50"/>
        <v>1000</v>
      </c>
      <c r="L57" s="498">
        <f t="shared" si="50"/>
        <v>20000</v>
      </c>
      <c r="M57" s="498">
        <f t="shared" si="50"/>
        <v>30000</v>
      </c>
      <c r="N57" s="498">
        <f t="shared" si="50"/>
        <v>40000</v>
      </c>
      <c r="O57" s="498">
        <f t="shared" si="50"/>
        <v>50000</v>
      </c>
      <c r="P57" s="498">
        <f t="shared" si="50"/>
        <v>75000</v>
      </c>
      <c r="Q57" s="498">
        <f t="shared" si="50"/>
        <v>100000</v>
      </c>
      <c r="R57" s="488"/>
      <c r="S57" s="490">
        <v>10</v>
      </c>
      <c r="T57" s="491">
        <v>10000</v>
      </c>
      <c r="U57" s="492">
        <v>0.9</v>
      </c>
      <c r="V57" s="488"/>
      <c r="W57" s="493">
        <f t="shared" si="51"/>
        <v>12.589254117941671</v>
      </c>
      <c r="X57" s="493">
        <f t="shared" si="51"/>
        <v>9.3303299153680737</v>
      </c>
      <c r="Y57" s="493">
        <f t="shared" si="51"/>
        <v>8.9595845984076217</v>
      </c>
      <c r="Z57" s="493">
        <f t="shared" si="51"/>
        <v>8.7055056329612412</v>
      </c>
      <c r="AA57" s="493">
        <f t="shared" si="51"/>
        <v>8.5133992252078468</v>
      </c>
      <c r="AB57" s="493">
        <f t="shared" si="51"/>
        <v>8.1751150570390685</v>
      </c>
      <c r="AC57" s="493">
        <f t="shared" si="51"/>
        <v>7.9432823472428158</v>
      </c>
      <c r="AD57" s="488"/>
      <c r="AE57" s="493">
        <f t="shared" si="52"/>
        <v>12.589254117941671</v>
      </c>
      <c r="AF57" s="493">
        <f t="shared" si="52"/>
        <v>9.3303299153680737</v>
      </c>
      <c r="AG57" s="493">
        <f t="shared" si="52"/>
        <v>8.9595845984076217</v>
      </c>
      <c r="AH57" s="493">
        <f t="shared" si="52"/>
        <v>8.7055056329612412</v>
      </c>
      <c r="AI57" s="493">
        <f t="shared" si="52"/>
        <v>8.5133992252078468</v>
      </c>
      <c r="AJ57" s="493">
        <f t="shared" si="52"/>
        <v>8.1751150570390685</v>
      </c>
      <c r="AK57" s="508">
        <f t="shared" si="52"/>
        <v>7.9432823472428158</v>
      </c>
    </row>
    <row r="58" spans="2:37" s="487" customFormat="1">
      <c r="B58" s="506" t="s">
        <v>792</v>
      </c>
      <c r="C58" s="524">
        <f t="shared" si="49"/>
        <v>1</v>
      </c>
      <c r="D58" s="524">
        <f t="shared" si="49"/>
        <v>1</v>
      </c>
      <c r="E58" s="524">
        <f t="shared" si="49"/>
        <v>1</v>
      </c>
      <c r="F58" s="524">
        <f t="shared" si="49"/>
        <v>1</v>
      </c>
      <c r="G58" s="524">
        <f t="shared" si="49"/>
        <v>1</v>
      </c>
      <c r="H58" s="524">
        <f t="shared" si="49"/>
        <v>1</v>
      </c>
      <c r="I58" s="524">
        <f t="shared" si="49"/>
        <v>1</v>
      </c>
      <c r="J58" s="488"/>
      <c r="K58" s="498">
        <f t="shared" si="50"/>
        <v>1000</v>
      </c>
      <c r="L58" s="498">
        <f t="shared" si="50"/>
        <v>20000</v>
      </c>
      <c r="M58" s="498">
        <f t="shared" si="50"/>
        <v>30000</v>
      </c>
      <c r="N58" s="498">
        <f t="shared" si="50"/>
        <v>40000</v>
      </c>
      <c r="O58" s="498">
        <f t="shared" si="50"/>
        <v>50000</v>
      </c>
      <c r="P58" s="498">
        <f t="shared" si="50"/>
        <v>75000</v>
      </c>
      <c r="Q58" s="498">
        <f t="shared" si="50"/>
        <v>100000</v>
      </c>
      <c r="R58" s="488"/>
      <c r="S58" s="490">
        <v>3</v>
      </c>
      <c r="T58" s="491">
        <v>10000</v>
      </c>
      <c r="U58" s="492">
        <v>0.9</v>
      </c>
      <c r="V58" s="488"/>
      <c r="W58" s="493">
        <f t="shared" si="51"/>
        <v>3.776776235382501</v>
      </c>
      <c r="X58" s="493">
        <f t="shared" si="51"/>
        <v>2.7990989746104225</v>
      </c>
      <c r="Y58" s="493">
        <f t="shared" si="51"/>
        <v>2.6878753795222865</v>
      </c>
      <c r="Z58" s="493">
        <f t="shared" si="51"/>
        <v>2.6116516898883724</v>
      </c>
      <c r="AA58" s="493">
        <f t="shared" si="51"/>
        <v>2.5540197675623539</v>
      </c>
      <c r="AB58" s="493">
        <f t="shared" si="51"/>
        <v>2.4525345171117205</v>
      </c>
      <c r="AC58" s="493">
        <f t="shared" si="51"/>
        <v>2.3829847041728449</v>
      </c>
      <c r="AD58" s="488"/>
      <c r="AE58" s="493">
        <f t="shared" si="52"/>
        <v>3.776776235382501</v>
      </c>
      <c r="AF58" s="493">
        <f t="shared" si="52"/>
        <v>2.7990989746104225</v>
      </c>
      <c r="AG58" s="493">
        <f t="shared" si="52"/>
        <v>2.6878753795222865</v>
      </c>
      <c r="AH58" s="493">
        <f t="shared" si="52"/>
        <v>2.6116516898883724</v>
      </c>
      <c r="AI58" s="493">
        <f t="shared" si="52"/>
        <v>2.5540197675623539</v>
      </c>
      <c r="AJ58" s="493">
        <f t="shared" si="52"/>
        <v>2.4525345171117205</v>
      </c>
      <c r="AK58" s="508">
        <f t="shared" si="52"/>
        <v>2.3829847041728449</v>
      </c>
    </row>
    <row r="59" spans="2:37" s="487" customFormat="1">
      <c r="B59" s="506" t="s">
        <v>793</v>
      </c>
      <c r="C59" s="524">
        <f t="shared" si="49"/>
        <v>1</v>
      </c>
      <c r="D59" s="524">
        <f t="shared" si="49"/>
        <v>1</v>
      </c>
      <c r="E59" s="524">
        <f t="shared" si="49"/>
        <v>1</v>
      </c>
      <c r="F59" s="524">
        <f t="shared" si="49"/>
        <v>1</v>
      </c>
      <c r="G59" s="524">
        <f t="shared" si="49"/>
        <v>1</v>
      </c>
      <c r="H59" s="524">
        <f t="shared" si="49"/>
        <v>1</v>
      </c>
      <c r="I59" s="524">
        <f t="shared" si="49"/>
        <v>1</v>
      </c>
      <c r="J59" s="488"/>
      <c r="K59" s="498">
        <f t="shared" si="50"/>
        <v>1000</v>
      </c>
      <c r="L59" s="498">
        <f t="shared" si="50"/>
        <v>20000</v>
      </c>
      <c r="M59" s="498">
        <f t="shared" si="50"/>
        <v>30000</v>
      </c>
      <c r="N59" s="498">
        <f t="shared" si="50"/>
        <v>40000</v>
      </c>
      <c r="O59" s="498">
        <f t="shared" si="50"/>
        <v>50000</v>
      </c>
      <c r="P59" s="498">
        <f t="shared" si="50"/>
        <v>75000</v>
      </c>
      <c r="Q59" s="498">
        <f t="shared" si="50"/>
        <v>100000</v>
      </c>
      <c r="R59" s="488"/>
      <c r="S59" s="490">
        <v>60.33</v>
      </c>
      <c r="T59" s="491">
        <v>50</v>
      </c>
      <c r="U59" s="492">
        <v>0.9</v>
      </c>
      <c r="V59" s="488"/>
      <c r="W59" s="493">
        <f t="shared" si="51"/>
        <v>44.712641314622161</v>
      </c>
      <c r="X59" s="493">
        <f t="shared" si="51"/>
        <v>33.138078788829041</v>
      </c>
      <c r="Y59" s="493">
        <f t="shared" si="51"/>
        <v>31.821320685368114</v>
      </c>
      <c r="Z59" s="493">
        <f t="shared" si="51"/>
        <v>30.918920786123593</v>
      </c>
      <c r="AA59" s="493">
        <f t="shared" si="51"/>
        <v>30.23662580473334</v>
      </c>
      <c r="AB59" s="493">
        <f t="shared" si="51"/>
        <v>29.035158384023362</v>
      </c>
      <c r="AC59" s="493">
        <f t="shared" si="51"/>
        <v>28.211769428569376</v>
      </c>
      <c r="AD59" s="488"/>
      <c r="AE59" s="493">
        <f t="shared" si="52"/>
        <v>44.712641314622161</v>
      </c>
      <c r="AF59" s="493">
        <f t="shared" si="52"/>
        <v>33.138078788829041</v>
      </c>
      <c r="AG59" s="493">
        <f t="shared" si="52"/>
        <v>31.821320685368114</v>
      </c>
      <c r="AH59" s="493">
        <f t="shared" si="52"/>
        <v>30.918920786123593</v>
      </c>
      <c r="AI59" s="493">
        <f t="shared" si="52"/>
        <v>30.23662580473334</v>
      </c>
      <c r="AJ59" s="493">
        <f t="shared" si="52"/>
        <v>29.035158384023362</v>
      </c>
      <c r="AK59" s="508">
        <f t="shared" si="52"/>
        <v>28.211769428569376</v>
      </c>
    </row>
    <row r="60" spans="2:37" s="487" customFormat="1" ht="16">
      <c r="B60" s="509" t="s">
        <v>794</v>
      </c>
      <c r="C60" s="524"/>
      <c r="D60" s="524"/>
      <c r="E60" s="524"/>
      <c r="F60" s="524"/>
      <c r="G60" s="524"/>
      <c r="H60" s="524"/>
      <c r="I60" s="524"/>
      <c r="J60" s="488"/>
      <c r="K60" s="495"/>
      <c r="L60" s="495"/>
      <c r="M60" s="495"/>
      <c r="N60" s="495"/>
      <c r="O60" s="495"/>
      <c r="P60" s="495"/>
      <c r="Q60" s="495"/>
      <c r="R60" s="488"/>
      <c r="S60" s="490"/>
      <c r="T60" s="491"/>
      <c r="U60" s="492">
        <v>0.9</v>
      </c>
      <c r="V60" s="488"/>
      <c r="W60" s="496"/>
      <c r="X60" s="496"/>
      <c r="Y60" s="496"/>
      <c r="Z60" s="496"/>
      <c r="AA60" s="496"/>
      <c r="AB60" s="496"/>
      <c r="AC60" s="496"/>
      <c r="AD60" s="488"/>
      <c r="AE60" s="496">
        <f t="shared" ref="AE60:AK60" si="53">SUM(AE61:AE66)</f>
        <v>70.464121413296681</v>
      </c>
      <c r="AF60" s="496">
        <f t="shared" si="53"/>
        <v>52.223387805448716</v>
      </c>
      <c r="AG60" s="496">
        <f t="shared" si="53"/>
        <v>50.148265420677625</v>
      </c>
      <c r="AH60" s="496">
        <f t="shared" si="53"/>
        <v>48.726143752304651</v>
      </c>
      <c r="AI60" s="496">
        <f t="shared" si="53"/>
        <v>47.650892660112007</v>
      </c>
      <c r="AJ60" s="496">
        <f t="shared" si="53"/>
        <v>45.757460652566024</v>
      </c>
      <c r="AK60" s="510">
        <f t="shared" si="53"/>
        <v>44.459854928063606</v>
      </c>
    </row>
    <row r="61" spans="2:37" s="487" customFormat="1">
      <c r="B61" s="506" t="s">
        <v>795</v>
      </c>
      <c r="C61" s="524">
        <v>1</v>
      </c>
      <c r="D61" s="524">
        <v>1</v>
      </c>
      <c r="E61" s="524">
        <v>1</v>
      </c>
      <c r="F61" s="524">
        <v>1</v>
      </c>
      <c r="G61" s="524">
        <v>1</v>
      </c>
      <c r="H61" s="524">
        <v>1</v>
      </c>
      <c r="I61" s="524">
        <v>1</v>
      </c>
      <c r="J61" s="488"/>
      <c r="K61" s="498">
        <f t="shared" ref="K61:Q66" si="54">C61*C$14</f>
        <v>1000</v>
      </c>
      <c r="L61" s="498">
        <f t="shared" si="54"/>
        <v>20000</v>
      </c>
      <c r="M61" s="498">
        <f t="shared" si="54"/>
        <v>30000</v>
      </c>
      <c r="N61" s="498">
        <f t="shared" si="54"/>
        <v>40000</v>
      </c>
      <c r="O61" s="498">
        <f t="shared" si="54"/>
        <v>50000</v>
      </c>
      <c r="P61" s="498">
        <f t="shared" si="54"/>
        <v>75000</v>
      </c>
      <c r="Q61" s="498">
        <f t="shared" si="54"/>
        <v>100000</v>
      </c>
      <c r="R61" s="488"/>
      <c r="S61" s="490">
        <v>10</v>
      </c>
      <c r="T61" s="491">
        <v>10000</v>
      </c>
      <c r="U61" s="492">
        <v>0.9</v>
      </c>
      <c r="V61" s="488"/>
      <c r="W61" s="493">
        <f t="shared" ref="W61:AC66" si="55">$S61*($T61/K61)^(1-$U61)</f>
        <v>12.589254117941671</v>
      </c>
      <c r="X61" s="493">
        <f t="shared" si="55"/>
        <v>9.3303299153680737</v>
      </c>
      <c r="Y61" s="493">
        <f t="shared" si="55"/>
        <v>8.9595845984076217</v>
      </c>
      <c r="Z61" s="493">
        <f t="shared" si="55"/>
        <v>8.7055056329612412</v>
      </c>
      <c r="AA61" s="493">
        <f t="shared" si="55"/>
        <v>8.5133992252078468</v>
      </c>
      <c r="AB61" s="493">
        <f t="shared" si="55"/>
        <v>8.1751150570390685</v>
      </c>
      <c r="AC61" s="493">
        <f t="shared" si="55"/>
        <v>7.9432823472428158</v>
      </c>
      <c r="AD61" s="488"/>
      <c r="AE61" s="493">
        <f t="shared" ref="AE61:AK66" si="56">C61*W61</f>
        <v>12.589254117941671</v>
      </c>
      <c r="AF61" s="493">
        <f t="shared" si="56"/>
        <v>9.3303299153680737</v>
      </c>
      <c r="AG61" s="493">
        <f t="shared" si="56"/>
        <v>8.9595845984076217</v>
      </c>
      <c r="AH61" s="493">
        <f t="shared" si="56"/>
        <v>8.7055056329612412</v>
      </c>
      <c r="AI61" s="493">
        <f t="shared" si="56"/>
        <v>8.5133992252078468</v>
      </c>
      <c r="AJ61" s="493">
        <f t="shared" si="56"/>
        <v>8.1751150570390685</v>
      </c>
      <c r="AK61" s="508">
        <f t="shared" si="56"/>
        <v>7.9432823472428158</v>
      </c>
    </row>
    <row r="62" spans="2:37" s="487" customFormat="1">
      <c r="B62" s="506" t="s">
        <v>796</v>
      </c>
      <c r="C62" s="524">
        <v>1</v>
      </c>
      <c r="D62" s="524">
        <v>1</v>
      </c>
      <c r="E62" s="524">
        <v>1</v>
      </c>
      <c r="F62" s="524">
        <v>1</v>
      </c>
      <c r="G62" s="524">
        <v>1</v>
      </c>
      <c r="H62" s="524">
        <v>1</v>
      </c>
      <c r="I62" s="524">
        <v>1</v>
      </c>
      <c r="J62" s="488"/>
      <c r="K62" s="498">
        <f t="shared" si="54"/>
        <v>1000</v>
      </c>
      <c r="L62" s="498">
        <f t="shared" si="54"/>
        <v>20000</v>
      </c>
      <c r="M62" s="498">
        <f t="shared" si="54"/>
        <v>30000</v>
      </c>
      <c r="N62" s="498">
        <f t="shared" si="54"/>
        <v>40000</v>
      </c>
      <c r="O62" s="498">
        <f t="shared" si="54"/>
        <v>50000</v>
      </c>
      <c r="P62" s="498">
        <f t="shared" si="54"/>
        <v>75000</v>
      </c>
      <c r="Q62" s="498">
        <f t="shared" si="54"/>
        <v>100000</v>
      </c>
      <c r="R62" s="488"/>
      <c r="S62" s="490">
        <v>5</v>
      </c>
      <c r="T62" s="491">
        <v>10000</v>
      </c>
      <c r="U62" s="492">
        <v>0.9</v>
      </c>
      <c r="V62" s="488"/>
      <c r="W62" s="493">
        <f t="shared" si="55"/>
        <v>6.2946270589708355</v>
      </c>
      <c r="X62" s="493">
        <f t="shared" si="55"/>
        <v>4.6651649576840368</v>
      </c>
      <c r="Y62" s="493">
        <f t="shared" si="55"/>
        <v>4.4797922992038108</v>
      </c>
      <c r="Z62" s="493">
        <f t="shared" si="55"/>
        <v>4.3527528164806206</v>
      </c>
      <c r="AA62" s="493">
        <f t="shared" si="55"/>
        <v>4.2566996126039234</v>
      </c>
      <c r="AB62" s="493">
        <f t="shared" si="55"/>
        <v>4.0875575285195342</v>
      </c>
      <c r="AC62" s="493">
        <f t="shared" si="55"/>
        <v>3.9716411736214079</v>
      </c>
      <c r="AD62" s="488"/>
      <c r="AE62" s="493">
        <f t="shared" si="56"/>
        <v>6.2946270589708355</v>
      </c>
      <c r="AF62" s="493">
        <f t="shared" si="56"/>
        <v>4.6651649576840368</v>
      </c>
      <c r="AG62" s="493">
        <f t="shared" si="56"/>
        <v>4.4797922992038108</v>
      </c>
      <c r="AH62" s="493">
        <f t="shared" si="56"/>
        <v>4.3527528164806206</v>
      </c>
      <c r="AI62" s="493">
        <f t="shared" si="56"/>
        <v>4.2566996126039234</v>
      </c>
      <c r="AJ62" s="493">
        <f t="shared" si="56"/>
        <v>4.0875575285195342</v>
      </c>
      <c r="AK62" s="508">
        <f t="shared" si="56"/>
        <v>3.9716411736214079</v>
      </c>
    </row>
    <row r="63" spans="2:37" s="487" customFormat="1">
      <c r="B63" s="506" t="s">
        <v>797</v>
      </c>
      <c r="C63" s="524">
        <v>1</v>
      </c>
      <c r="D63" s="524">
        <v>1</v>
      </c>
      <c r="E63" s="524">
        <v>1</v>
      </c>
      <c r="F63" s="524">
        <v>1</v>
      </c>
      <c r="G63" s="524">
        <v>1</v>
      </c>
      <c r="H63" s="524">
        <v>1</v>
      </c>
      <c r="I63" s="524">
        <v>1</v>
      </c>
      <c r="J63" s="488"/>
      <c r="K63" s="498">
        <f t="shared" si="54"/>
        <v>1000</v>
      </c>
      <c r="L63" s="498">
        <f t="shared" si="54"/>
        <v>20000</v>
      </c>
      <c r="M63" s="498">
        <f t="shared" si="54"/>
        <v>30000</v>
      </c>
      <c r="N63" s="498">
        <f t="shared" si="54"/>
        <v>40000</v>
      </c>
      <c r="O63" s="498">
        <f t="shared" si="54"/>
        <v>50000</v>
      </c>
      <c r="P63" s="498">
        <f t="shared" si="54"/>
        <v>75000</v>
      </c>
      <c r="Q63" s="498">
        <f t="shared" si="54"/>
        <v>100000</v>
      </c>
      <c r="R63" s="488"/>
      <c r="S63" s="490">
        <v>5</v>
      </c>
      <c r="T63" s="491">
        <v>1000</v>
      </c>
      <c r="U63" s="492">
        <v>0.9</v>
      </c>
      <c r="V63" s="488"/>
      <c r="W63" s="493">
        <f t="shared" si="55"/>
        <v>5</v>
      </c>
      <c r="X63" s="493">
        <f t="shared" si="55"/>
        <v>3.7056722455347391</v>
      </c>
      <c r="Y63" s="493">
        <f t="shared" si="55"/>
        <v>3.5584255089579937</v>
      </c>
      <c r="Z63" s="493">
        <f t="shared" si="55"/>
        <v>3.4575144609061965</v>
      </c>
      <c r="AA63" s="493">
        <f t="shared" si="55"/>
        <v>3.3812166890312074</v>
      </c>
      <c r="AB63" s="493">
        <f t="shared" si="55"/>
        <v>3.2468623559628691</v>
      </c>
      <c r="AC63" s="493">
        <f t="shared" si="55"/>
        <v>3.1547867224009667</v>
      </c>
      <c r="AD63" s="488"/>
      <c r="AE63" s="493">
        <f t="shared" si="56"/>
        <v>5</v>
      </c>
      <c r="AF63" s="493">
        <f t="shared" si="56"/>
        <v>3.7056722455347391</v>
      </c>
      <c r="AG63" s="493">
        <f t="shared" si="56"/>
        <v>3.5584255089579937</v>
      </c>
      <c r="AH63" s="493">
        <f t="shared" si="56"/>
        <v>3.4575144609061965</v>
      </c>
      <c r="AI63" s="493">
        <f t="shared" si="56"/>
        <v>3.3812166890312074</v>
      </c>
      <c r="AJ63" s="493">
        <f t="shared" si="56"/>
        <v>3.2468623559628691</v>
      </c>
      <c r="AK63" s="508">
        <f t="shared" si="56"/>
        <v>3.1547867224009667</v>
      </c>
    </row>
    <row r="64" spans="2:37" s="487" customFormat="1">
      <c r="B64" s="506" t="s">
        <v>798</v>
      </c>
      <c r="C64" s="524">
        <v>1</v>
      </c>
      <c r="D64" s="524">
        <v>1</v>
      </c>
      <c r="E64" s="524">
        <v>1</v>
      </c>
      <c r="F64" s="524">
        <v>1</v>
      </c>
      <c r="G64" s="524">
        <v>1</v>
      </c>
      <c r="H64" s="524">
        <v>1</v>
      </c>
      <c r="I64" s="524">
        <v>1</v>
      </c>
      <c r="J64" s="488"/>
      <c r="K64" s="498">
        <f t="shared" si="54"/>
        <v>1000</v>
      </c>
      <c r="L64" s="498">
        <f t="shared" si="54"/>
        <v>20000</v>
      </c>
      <c r="M64" s="498">
        <f t="shared" si="54"/>
        <v>30000</v>
      </c>
      <c r="N64" s="498">
        <f t="shared" si="54"/>
        <v>40000</v>
      </c>
      <c r="O64" s="498">
        <f t="shared" si="54"/>
        <v>50000</v>
      </c>
      <c r="P64" s="498">
        <f t="shared" si="54"/>
        <v>75000</v>
      </c>
      <c r="Q64" s="498">
        <f t="shared" si="54"/>
        <v>100000</v>
      </c>
      <c r="R64" s="488"/>
      <c r="S64" s="490">
        <v>3</v>
      </c>
      <c r="T64" s="491">
        <v>10000</v>
      </c>
      <c r="U64" s="492">
        <v>0.9</v>
      </c>
      <c r="V64" s="488"/>
      <c r="W64" s="493">
        <f t="shared" si="55"/>
        <v>3.776776235382501</v>
      </c>
      <c r="X64" s="493">
        <f t="shared" si="55"/>
        <v>2.7990989746104225</v>
      </c>
      <c r="Y64" s="493">
        <f t="shared" si="55"/>
        <v>2.6878753795222865</v>
      </c>
      <c r="Z64" s="493">
        <f t="shared" si="55"/>
        <v>2.6116516898883724</v>
      </c>
      <c r="AA64" s="493">
        <f t="shared" si="55"/>
        <v>2.5540197675623539</v>
      </c>
      <c r="AB64" s="493">
        <f t="shared" si="55"/>
        <v>2.4525345171117205</v>
      </c>
      <c r="AC64" s="493">
        <f t="shared" si="55"/>
        <v>2.3829847041728449</v>
      </c>
      <c r="AD64" s="488"/>
      <c r="AE64" s="493">
        <f t="shared" si="56"/>
        <v>3.776776235382501</v>
      </c>
      <c r="AF64" s="493">
        <f t="shared" si="56"/>
        <v>2.7990989746104225</v>
      </c>
      <c r="AG64" s="493">
        <f t="shared" si="56"/>
        <v>2.6878753795222865</v>
      </c>
      <c r="AH64" s="493">
        <f t="shared" si="56"/>
        <v>2.6116516898883724</v>
      </c>
      <c r="AI64" s="493">
        <f t="shared" si="56"/>
        <v>2.5540197675623539</v>
      </c>
      <c r="AJ64" s="493">
        <f t="shared" si="56"/>
        <v>2.4525345171117205</v>
      </c>
      <c r="AK64" s="508">
        <f t="shared" si="56"/>
        <v>2.3829847041728449</v>
      </c>
    </row>
    <row r="65" spans="1:37" s="487" customFormat="1">
      <c r="B65" s="506" t="s">
        <v>799</v>
      </c>
      <c r="C65" s="524">
        <v>1</v>
      </c>
      <c r="D65" s="524">
        <v>1</v>
      </c>
      <c r="E65" s="524">
        <v>1</v>
      </c>
      <c r="F65" s="524">
        <v>1</v>
      </c>
      <c r="G65" s="524">
        <v>1</v>
      </c>
      <c r="H65" s="524">
        <v>1</v>
      </c>
      <c r="I65" s="524">
        <v>1</v>
      </c>
      <c r="J65" s="488"/>
      <c r="K65" s="498">
        <f t="shared" si="54"/>
        <v>1000</v>
      </c>
      <c r="L65" s="498">
        <f t="shared" si="54"/>
        <v>20000</v>
      </c>
      <c r="M65" s="498">
        <f t="shared" si="54"/>
        <v>30000</v>
      </c>
      <c r="N65" s="498">
        <f t="shared" si="54"/>
        <v>40000</v>
      </c>
      <c r="O65" s="498">
        <f t="shared" si="54"/>
        <v>50000</v>
      </c>
      <c r="P65" s="498">
        <f t="shared" si="54"/>
        <v>75000</v>
      </c>
      <c r="Q65" s="498">
        <f t="shared" si="54"/>
        <v>100000</v>
      </c>
      <c r="R65" s="488"/>
      <c r="S65" s="490">
        <v>29</v>
      </c>
      <c r="T65" s="491">
        <v>10000</v>
      </c>
      <c r="U65" s="492">
        <v>0.9</v>
      </c>
      <c r="V65" s="488"/>
      <c r="W65" s="493">
        <f t="shared" si="55"/>
        <v>36.508836942030847</v>
      </c>
      <c r="X65" s="493">
        <f t="shared" si="55"/>
        <v>27.057956754567414</v>
      </c>
      <c r="Y65" s="493">
        <f t="shared" si="55"/>
        <v>25.982795335382104</v>
      </c>
      <c r="Z65" s="493">
        <f t="shared" si="55"/>
        <v>25.2459663355876</v>
      </c>
      <c r="AA65" s="493">
        <f t="shared" si="55"/>
        <v>24.688857753102752</v>
      </c>
      <c r="AB65" s="493">
        <f t="shared" si="55"/>
        <v>23.707833665413297</v>
      </c>
      <c r="AC65" s="493">
        <f t="shared" si="55"/>
        <v>23.035518807004166</v>
      </c>
      <c r="AD65" s="488"/>
      <c r="AE65" s="493">
        <f t="shared" si="56"/>
        <v>36.508836942030847</v>
      </c>
      <c r="AF65" s="493">
        <f t="shared" si="56"/>
        <v>27.057956754567414</v>
      </c>
      <c r="AG65" s="493">
        <f t="shared" si="56"/>
        <v>25.982795335382104</v>
      </c>
      <c r="AH65" s="493">
        <f t="shared" si="56"/>
        <v>25.2459663355876</v>
      </c>
      <c r="AI65" s="493">
        <f t="shared" si="56"/>
        <v>24.688857753102752</v>
      </c>
      <c r="AJ65" s="493">
        <f t="shared" si="56"/>
        <v>23.707833665413297</v>
      </c>
      <c r="AK65" s="508">
        <f t="shared" si="56"/>
        <v>23.035518807004166</v>
      </c>
    </row>
    <row r="66" spans="1:37" s="487" customFormat="1">
      <c r="B66" s="506" t="s">
        <v>800</v>
      </c>
      <c r="C66" s="524">
        <v>1</v>
      </c>
      <c r="D66" s="524">
        <v>1</v>
      </c>
      <c r="E66" s="524">
        <v>1</v>
      </c>
      <c r="F66" s="524">
        <v>1</v>
      </c>
      <c r="G66" s="524">
        <v>1</v>
      </c>
      <c r="H66" s="524">
        <v>1</v>
      </c>
      <c r="I66" s="524">
        <v>1</v>
      </c>
      <c r="J66" s="488"/>
      <c r="K66" s="498">
        <f t="shared" si="54"/>
        <v>1000</v>
      </c>
      <c r="L66" s="498">
        <f t="shared" si="54"/>
        <v>20000</v>
      </c>
      <c r="M66" s="498">
        <f t="shared" si="54"/>
        <v>30000</v>
      </c>
      <c r="N66" s="498">
        <f t="shared" si="54"/>
        <v>40000</v>
      </c>
      <c r="O66" s="498">
        <f t="shared" si="54"/>
        <v>50000</v>
      </c>
      <c r="P66" s="498">
        <f t="shared" si="54"/>
        <v>75000</v>
      </c>
      <c r="Q66" s="498">
        <f t="shared" si="54"/>
        <v>100000</v>
      </c>
      <c r="R66" s="488"/>
      <c r="S66" s="490">
        <v>5</v>
      </c>
      <c r="T66" s="491">
        <v>10000</v>
      </c>
      <c r="U66" s="492">
        <v>0.9</v>
      </c>
      <c r="V66" s="488"/>
      <c r="W66" s="493">
        <f t="shared" si="55"/>
        <v>6.2946270589708355</v>
      </c>
      <c r="X66" s="493">
        <f t="shared" si="55"/>
        <v>4.6651649576840368</v>
      </c>
      <c r="Y66" s="493">
        <f t="shared" si="55"/>
        <v>4.4797922992038108</v>
      </c>
      <c r="Z66" s="493">
        <f t="shared" si="55"/>
        <v>4.3527528164806206</v>
      </c>
      <c r="AA66" s="493">
        <f t="shared" si="55"/>
        <v>4.2566996126039234</v>
      </c>
      <c r="AB66" s="493">
        <f t="shared" si="55"/>
        <v>4.0875575285195342</v>
      </c>
      <c r="AC66" s="493">
        <f t="shared" si="55"/>
        <v>3.9716411736214079</v>
      </c>
      <c r="AD66" s="488"/>
      <c r="AE66" s="493">
        <f t="shared" si="56"/>
        <v>6.2946270589708355</v>
      </c>
      <c r="AF66" s="493">
        <f t="shared" si="56"/>
        <v>4.6651649576840368</v>
      </c>
      <c r="AG66" s="493">
        <f t="shared" si="56"/>
        <v>4.4797922992038108</v>
      </c>
      <c r="AH66" s="493">
        <f t="shared" si="56"/>
        <v>4.3527528164806206</v>
      </c>
      <c r="AI66" s="493">
        <f t="shared" si="56"/>
        <v>4.2566996126039234</v>
      </c>
      <c r="AJ66" s="493">
        <f t="shared" si="56"/>
        <v>4.0875575285195342</v>
      </c>
      <c r="AK66" s="508">
        <f t="shared" si="56"/>
        <v>3.9716411736214079</v>
      </c>
    </row>
    <row r="67" spans="1:37" s="487" customFormat="1" ht="16">
      <c r="B67" s="504" t="s">
        <v>801</v>
      </c>
      <c r="C67" s="524"/>
      <c r="D67" s="524"/>
      <c r="E67" s="524"/>
      <c r="F67" s="524"/>
      <c r="G67" s="524"/>
      <c r="H67" s="524"/>
      <c r="I67" s="524"/>
      <c r="J67" s="488"/>
      <c r="K67" s="495"/>
      <c r="L67" s="495"/>
      <c r="M67" s="495"/>
      <c r="N67" s="495"/>
      <c r="O67" s="495"/>
      <c r="P67" s="495"/>
      <c r="Q67" s="495"/>
      <c r="R67" s="488"/>
      <c r="S67" s="490"/>
      <c r="T67" s="491"/>
      <c r="U67" s="492">
        <v>0.9</v>
      </c>
      <c r="V67" s="488"/>
      <c r="W67" s="499"/>
      <c r="X67" s="499"/>
      <c r="Y67" s="499"/>
      <c r="Z67" s="499"/>
      <c r="AA67" s="499"/>
      <c r="AB67" s="499"/>
      <c r="AC67" s="499"/>
      <c r="AD67" s="488"/>
      <c r="AE67" s="496">
        <f t="shared" ref="AE67:AK67" si="57">SUM(AE68:AE70)</f>
        <v>44.771177964768633</v>
      </c>
      <c r="AF67" s="496">
        <f t="shared" si="57"/>
        <v>33.181462316787922</v>
      </c>
      <c r="AG67" s="496">
        <f t="shared" si="57"/>
        <v>31.862980347186145</v>
      </c>
      <c r="AH67" s="496">
        <f t="shared" si="57"/>
        <v>30.959399048998478</v>
      </c>
      <c r="AI67" s="496">
        <f t="shared" si="57"/>
        <v>30.276210824412388</v>
      </c>
      <c r="AJ67" s="496">
        <f t="shared" si="57"/>
        <v>29.073170473184312</v>
      </c>
      <c r="AK67" s="510">
        <f t="shared" si="57"/>
        <v>28.248703557900562</v>
      </c>
    </row>
    <row r="68" spans="1:37" s="487" customFormat="1" ht="15">
      <c r="B68" s="511" t="s">
        <v>802</v>
      </c>
      <c r="C68" s="524">
        <f t="shared" ref="C68:I68" si="58">((C3/C4)+1)*C7</f>
        <v>120</v>
      </c>
      <c r="D68" s="524">
        <f t="shared" si="58"/>
        <v>120</v>
      </c>
      <c r="E68" s="524">
        <f t="shared" si="58"/>
        <v>120</v>
      </c>
      <c r="F68" s="524">
        <f t="shared" si="58"/>
        <v>120</v>
      </c>
      <c r="G68" s="524">
        <f t="shared" si="58"/>
        <v>120</v>
      </c>
      <c r="H68" s="524">
        <f t="shared" si="58"/>
        <v>120</v>
      </c>
      <c r="I68" s="524">
        <f t="shared" si="58"/>
        <v>120</v>
      </c>
      <c r="J68" s="488"/>
      <c r="K68" s="489">
        <f t="shared" ref="K68:Q70" si="59">C68*C$14</f>
        <v>120000</v>
      </c>
      <c r="L68" s="489">
        <f t="shared" si="59"/>
        <v>2400000</v>
      </c>
      <c r="M68" s="489">
        <f t="shared" si="59"/>
        <v>3600000</v>
      </c>
      <c r="N68" s="489">
        <f t="shared" si="59"/>
        <v>4800000</v>
      </c>
      <c r="O68" s="489">
        <f t="shared" si="59"/>
        <v>6000000</v>
      </c>
      <c r="P68" s="489">
        <f t="shared" si="59"/>
        <v>9000000</v>
      </c>
      <c r="Q68" s="489">
        <f t="shared" si="59"/>
        <v>12000000</v>
      </c>
      <c r="R68" s="488"/>
      <c r="S68" s="490">
        <v>0.33072000000000001</v>
      </c>
      <c r="T68" s="491">
        <v>10500</v>
      </c>
      <c r="U68" s="492">
        <v>0.9</v>
      </c>
      <c r="V68" s="488"/>
      <c r="W68" s="493">
        <f t="shared" ref="W68:AC70" si="60">$S68*($T68/K68)^(1-$U68)</f>
        <v>0.25921567764010023</v>
      </c>
      <c r="X68" s="493">
        <f t="shared" si="60"/>
        <v>0.19211366844767985</v>
      </c>
      <c r="Y68" s="493">
        <f t="shared" si="60"/>
        <v>0.18447993592727296</v>
      </c>
      <c r="Z68" s="493">
        <f t="shared" si="60"/>
        <v>0.17924839078684909</v>
      </c>
      <c r="AA68" s="493">
        <f t="shared" si="60"/>
        <v>0.17529287505904809</v>
      </c>
      <c r="AB68" s="493">
        <f t="shared" si="60"/>
        <v>0.16832752516100946</v>
      </c>
      <c r="AC68" s="493">
        <f t="shared" si="60"/>
        <v>0.16355403561143145</v>
      </c>
      <c r="AD68" s="488"/>
      <c r="AE68" s="493">
        <f t="shared" ref="AE68:AK70" si="61">C68*W68</f>
        <v>31.105881316812027</v>
      </c>
      <c r="AF68" s="493">
        <f t="shared" si="61"/>
        <v>23.053640213721582</v>
      </c>
      <c r="AG68" s="493">
        <f t="shared" si="61"/>
        <v>22.137592311272755</v>
      </c>
      <c r="AH68" s="493">
        <f t="shared" si="61"/>
        <v>21.509806894421892</v>
      </c>
      <c r="AI68" s="493">
        <f t="shared" si="61"/>
        <v>21.03514500708577</v>
      </c>
      <c r="AJ68" s="493">
        <f t="shared" si="61"/>
        <v>20.199303019321135</v>
      </c>
      <c r="AK68" s="508">
        <f t="shared" si="61"/>
        <v>19.626484273371773</v>
      </c>
    </row>
    <row r="69" spans="1:37" s="487" customFormat="1" ht="15">
      <c r="B69" s="511" t="s">
        <v>803</v>
      </c>
      <c r="C69" s="524">
        <f t="shared" ref="C69:I69" si="62">C7*2</f>
        <v>40</v>
      </c>
      <c r="D69" s="524">
        <f t="shared" si="62"/>
        <v>40</v>
      </c>
      <c r="E69" s="524">
        <f t="shared" si="62"/>
        <v>40</v>
      </c>
      <c r="F69" s="524">
        <f t="shared" si="62"/>
        <v>40</v>
      </c>
      <c r="G69" s="524">
        <f t="shared" si="62"/>
        <v>40</v>
      </c>
      <c r="H69" s="524">
        <f t="shared" si="62"/>
        <v>40</v>
      </c>
      <c r="I69" s="524">
        <f t="shared" si="62"/>
        <v>40</v>
      </c>
      <c r="J69" s="488"/>
      <c r="K69" s="489">
        <f t="shared" si="59"/>
        <v>40000</v>
      </c>
      <c r="L69" s="489">
        <f t="shared" si="59"/>
        <v>800000</v>
      </c>
      <c r="M69" s="489">
        <f t="shared" si="59"/>
        <v>1200000</v>
      </c>
      <c r="N69" s="489">
        <f t="shared" si="59"/>
        <v>1600000</v>
      </c>
      <c r="O69" s="489">
        <f t="shared" si="59"/>
        <v>2000000</v>
      </c>
      <c r="P69" s="489">
        <f t="shared" si="59"/>
        <v>3000000</v>
      </c>
      <c r="Q69" s="489">
        <f t="shared" si="59"/>
        <v>4000000</v>
      </c>
      <c r="R69" s="488"/>
      <c r="S69" s="490">
        <v>0.2261</v>
      </c>
      <c r="T69" s="491">
        <v>1000</v>
      </c>
      <c r="U69" s="492">
        <v>0.9</v>
      </c>
      <c r="V69" s="488"/>
      <c r="W69" s="493">
        <f t="shared" si="60"/>
        <v>0.1563488039221782</v>
      </c>
      <c r="X69" s="493">
        <f t="shared" si="60"/>
        <v>0.11587548466339374</v>
      </c>
      <c r="Y69" s="493">
        <f t="shared" si="60"/>
        <v>0.1112711144343501</v>
      </c>
      <c r="Z69" s="493">
        <f t="shared" si="60"/>
        <v>0.1081156501012637</v>
      </c>
      <c r="AA69" s="493">
        <f t="shared" si="60"/>
        <v>0.10572983702634736</v>
      </c>
      <c r="AB69" s="493">
        <f t="shared" si="60"/>
        <v>0.10152860917094803</v>
      </c>
      <c r="AC69" s="493">
        <f t="shared" si="60"/>
        <v>9.8649426135391988E-2</v>
      </c>
      <c r="AD69" s="488"/>
      <c r="AE69" s="493">
        <f t="shared" si="61"/>
        <v>6.2539521568871281</v>
      </c>
      <c r="AF69" s="493">
        <f t="shared" si="61"/>
        <v>4.6350193865357499</v>
      </c>
      <c r="AG69" s="493">
        <f t="shared" si="61"/>
        <v>4.4508445773740037</v>
      </c>
      <c r="AH69" s="493">
        <f t="shared" si="61"/>
        <v>4.3246260040505478</v>
      </c>
      <c r="AI69" s="493">
        <f t="shared" si="61"/>
        <v>4.229193481053894</v>
      </c>
      <c r="AJ69" s="493">
        <f t="shared" si="61"/>
        <v>4.0611443668379206</v>
      </c>
      <c r="AK69" s="508">
        <f t="shared" si="61"/>
        <v>3.9459770454156793</v>
      </c>
    </row>
    <row r="70" spans="1:37" s="487" customFormat="1" ht="15">
      <c r="B70" s="511" t="s">
        <v>804</v>
      </c>
      <c r="C70" s="524">
        <f t="shared" ref="C70:I70" si="63">C7</f>
        <v>20</v>
      </c>
      <c r="D70" s="524">
        <f t="shared" si="63"/>
        <v>20</v>
      </c>
      <c r="E70" s="524">
        <f t="shared" si="63"/>
        <v>20</v>
      </c>
      <c r="F70" s="524">
        <f t="shared" si="63"/>
        <v>20</v>
      </c>
      <c r="G70" s="524">
        <f t="shared" si="63"/>
        <v>20</v>
      </c>
      <c r="H70" s="524">
        <f t="shared" si="63"/>
        <v>20</v>
      </c>
      <c r="I70" s="524">
        <f t="shared" si="63"/>
        <v>20</v>
      </c>
      <c r="J70" s="488"/>
      <c r="K70" s="489">
        <f t="shared" si="59"/>
        <v>20000</v>
      </c>
      <c r="L70" s="489">
        <f t="shared" si="59"/>
        <v>400000</v>
      </c>
      <c r="M70" s="489">
        <f t="shared" si="59"/>
        <v>600000</v>
      </c>
      <c r="N70" s="489">
        <f t="shared" si="59"/>
        <v>800000</v>
      </c>
      <c r="O70" s="489">
        <f t="shared" si="59"/>
        <v>1000000</v>
      </c>
      <c r="P70" s="489">
        <f t="shared" si="59"/>
        <v>1500000</v>
      </c>
      <c r="Q70" s="489">
        <f t="shared" si="59"/>
        <v>2000000</v>
      </c>
      <c r="R70" s="488"/>
      <c r="S70" s="490">
        <v>0.5</v>
      </c>
      <c r="T70" s="491">
        <v>1000</v>
      </c>
      <c r="U70" s="492">
        <v>0.9</v>
      </c>
      <c r="V70" s="488"/>
      <c r="W70" s="493">
        <f t="shared" si="60"/>
        <v>0.37056722455347391</v>
      </c>
      <c r="X70" s="493">
        <f t="shared" si="60"/>
        <v>0.27464013582652946</v>
      </c>
      <c r="Y70" s="493">
        <f t="shared" si="60"/>
        <v>0.26372717292696929</v>
      </c>
      <c r="Z70" s="493">
        <f t="shared" si="60"/>
        <v>0.25624830752630195</v>
      </c>
      <c r="AA70" s="493">
        <f t="shared" si="60"/>
        <v>0.25059361681363618</v>
      </c>
      <c r="AB70" s="493">
        <f t="shared" si="60"/>
        <v>0.24063615435126273</v>
      </c>
      <c r="AC70" s="493">
        <f t="shared" si="60"/>
        <v>0.23381211195565538</v>
      </c>
      <c r="AD70" s="488"/>
      <c r="AE70" s="493">
        <f t="shared" si="61"/>
        <v>7.4113444910694781</v>
      </c>
      <c r="AF70" s="493">
        <f t="shared" si="61"/>
        <v>5.4928027165305888</v>
      </c>
      <c r="AG70" s="493">
        <f t="shared" si="61"/>
        <v>5.2745434585393856</v>
      </c>
      <c r="AH70" s="493">
        <f t="shared" si="61"/>
        <v>5.1249661505260393</v>
      </c>
      <c r="AI70" s="493">
        <f t="shared" si="61"/>
        <v>5.0118723362727238</v>
      </c>
      <c r="AJ70" s="493">
        <f t="shared" si="61"/>
        <v>4.8127230870252546</v>
      </c>
      <c r="AK70" s="508">
        <f t="shared" si="61"/>
        <v>4.6762422391131073</v>
      </c>
    </row>
    <row r="71" spans="1:37" s="487" customFormat="1" ht="15">
      <c r="B71" s="509" t="s">
        <v>805</v>
      </c>
      <c r="C71" s="524"/>
      <c r="D71" s="524"/>
      <c r="E71" s="524"/>
      <c r="F71" s="524"/>
      <c r="G71" s="524"/>
      <c r="H71" s="524"/>
      <c r="I71" s="524"/>
      <c r="J71" s="488"/>
      <c r="K71" s="500"/>
      <c r="L71" s="500"/>
      <c r="M71" s="500"/>
      <c r="N71" s="500"/>
      <c r="O71" s="500"/>
      <c r="P71" s="500"/>
      <c r="Q71" s="500"/>
      <c r="R71" s="488"/>
      <c r="S71" s="490"/>
      <c r="T71" s="491"/>
      <c r="U71" s="492">
        <v>0.9</v>
      </c>
      <c r="V71" s="488"/>
      <c r="W71" s="493"/>
      <c r="X71" s="493"/>
      <c r="Y71" s="493"/>
      <c r="Z71" s="493"/>
      <c r="AA71" s="493"/>
      <c r="AB71" s="493"/>
      <c r="AC71" s="493"/>
      <c r="AD71" s="488"/>
      <c r="AE71" s="493"/>
      <c r="AF71" s="493"/>
      <c r="AG71" s="493"/>
      <c r="AH71" s="493"/>
      <c r="AI71" s="493"/>
      <c r="AJ71" s="493"/>
      <c r="AK71" s="508"/>
    </row>
    <row r="72" spans="1:37" s="487" customFormat="1" ht="15">
      <c r="B72" s="511" t="s">
        <v>806</v>
      </c>
      <c r="C72" s="524">
        <v>2</v>
      </c>
      <c r="D72" s="524">
        <v>2</v>
      </c>
      <c r="E72" s="524">
        <v>2</v>
      </c>
      <c r="F72" s="524">
        <v>2</v>
      </c>
      <c r="G72" s="524">
        <v>2</v>
      </c>
      <c r="H72" s="524">
        <v>2</v>
      </c>
      <c r="I72" s="524">
        <v>2</v>
      </c>
      <c r="J72" s="488"/>
      <c r="K72" s="500">
        <f t="shared" ref="K72:Q72" si="64">C72*C$14</f>
        <v>2000</v>
      </c>
      <c r="L72" s="500">
        <f t="shared" si="64"/>
        <v>40000</v>
      </c>
      <c r="M72" s="500">
        <f t="shared" si="64"/>
        <v>60000</v>
      </c>
      <c r="N72" s="500">
        <f t="shared" si="64"/>
        <v>80000</v>
      </c>
      <c r="O72" s="500">
        <f t="shared" si="64"/>
        <v>100000</v>
      </c>
      <c r="P72" s="500">
        <f t="shared" si="64"/>
        <v>150000</v>
      </c>
      <c r="Q72" s="500">
        <f t="shared" si="64"/>
        <v>200000</v>
      </c>
      <c r="R72" s="488"/>
      <c r="S72" s="490">
        <v>0.2261</v>
      </c>
      <c r="T72" s="491">
        <v>1000</v>
      </c>
      <c r="U72" s="492">
        <v>0.9</v>
      </c>
      <c r="V72" s="488"/>
      <c r="W72" s="493">
        <f t="shared" ref="W72:AC72" si="65">$S72*($T72/K72)^(1-$U72)</f>
        <v>0.21095875938647216</v>
      </c>
      <c r="X72" s="493">
        <f t="shared" si="65"/>
        <v>0.1563488039221782</v>
      </c>
      <c r="Y72" s="493">
        <f t="shared" si="65"/>
        <v>0.15013620614779083</v>
      </c>
      <c r="Z72" s="493">
        <f t="shared" si="65"/>
        <v>0.14587859224671165</v>
      </c>
      <c r="AA72" s="493">
        <f t="shared" si="65"/>
        <v>0.14265945558697171</v>
      </c>
      <c r="AB72" s="493">
        <f t="shared" si="65"/>
        <v>0.136990810902513</v>
      </c>
      <c r="AC72" s="493">
        <f t="shared" si="65"/>
        <v>0.13310597861732451</v>
      </c>
      <c r="AD72" s="488"/>
      <c r="AE72" s="493">
        <f t="shared" ref="AE72:AK72" si="66">C72*W72</f>
        <v>0.42191751877294431</v>
      </c>
      <c r="AF72" s="493">
        <f t="shared" si="66"/>
        <v>0.31269760784435641</v>
      </c>
      <c r="AG72" s="493">
        <f t="shared" si="66"/>
        <v>0.30027241229558166</v>
      </c>
      <c r="AH72" s="493">
        <f t="shared" si="66"/>
        <v>0.2917571844934233</v>
      </c>
      <c r="AI72" s="493">
        <f t="shared" si="66"/>
        <v>0.28531891117394342</v>
      </c>
      <c r="AJ72" s="493">
        <f t="shared" si="66"/>
        <v>0.273981621805026</v>
      </c>
      <c r="AK72" s="508">
        <f t="shared" si="66"/>
        <v>0.26621195723464902</v>
      </c>
    </row>
    <row r="73" spans="1:37" s="487" customFormat="1" ht="17" thickBot="1">
      <c r="A73" s="761" t="s">
        <v>991</v>
      </c>
      <c r="B73" s="523" t="s">
        <v>993</v>
      </c>
      <c r="C73" s="512"/>
      <c r="D73" s="513"/>
      <c r="E73" s="513"/>
      <c r="F73" s="513"/>
      <c r="G73" s="513"/>
      <c r="H73" s="513"/>
      <c r="I73" s="513"/>
      <c r="J73" s="513"/>
      <c r="K73" s="513"/>
      <c r="L73" s="513"/>
      <c r="M73" s="513"/>
      <c r="N73" s="513"/>
      <c r="O73" s="513"/>
      <c r="P73" s="513"/>
      <c r="Q73" s="513"/>
      <c r="R73" s="513"/>
      <c r="S73" s="513"/>
      <c r="T73" s="513"/>
      <c r="U73" s="513"/>
      <c r="V73" s="513"/>
      <c r="W73" s="513"/>
      <c r="X73" s="513"/>
      <c r="Y73" s="513"/>
      <c r="Z73" s="513"/>
      <c r="AA73" s="513"/>
      <c r="AB73" s="513"/>
      <c r="AC73" s="513"/>
      <c r="AD73" s="513"/>
      <c r="AE73" s="514">
        <f t="shared" ref="AE73:AK73" si="67">AE21+AE51+AE60+AE67+AE72</f>
        <v>589.46061382423511</v>
      </c>
      <c r="AF73" s="514">
        <f t="shared" si="67"/>
        <v>436.86956729686773</v>
      </c>
      <c r="AG73" s="514">
        <f t="shared" si="67"/>
        <v>419.51033695163892</v>
      </c>
      <c r="AH73" s="514">
        <f t="shared" si="67"/>
        <v>407.6137192863871</v>
      </c>
      <c r="AI73" s="514">
        <f t="shared" si="67"/>
        <v>398.61881299781658</v>
      </c>
      <c r="AJ73" s="514">
        <f t="shared" si="67"/>
        <v>382.77949546973497</v>
      </c>
      <c r="AK73" s="515">
        <f t="shared" si="67"/>
        <v>371.92450357420404</v>
      </c>
    </row>
    <row r="74" spans="1:37" ht="15" thickTop="1" thickBot="1">
      <c r="AE74" s="484" t="s">
        <v>0</v>
      </c>
      <c r="AF74" s="484" t="s">
        <v>1</v>
      </c>
      <c r="AG74" s="484" t="s">
        <v>2</v>
      </c>
      <c r="AH74" s="484" t="s">
        <v>3</v>
      </c>
      <c r="AI74" s="484" t="s">
        <v>4</v>
      </c>
      <c r="AJ74" s="484" t="s">
        <v>530</v>
      </c>
      <c r="AK74" s="484" t="s">
        <v>531</v>
      </c>
    </row>
    <row r="75" spans="1:37" s="482" customFormat="1" ht="31" thickTop="1">
      <c r="B75" s="525"/>
      <c r="C75" s="526" t="s">
        <v>830</v>
      </c>
      <c r="D75" s="526" t="s">
        <v>831</v>
      </c>
      <c r="E75" s="526" t="s">
        <v>832</v>
      </c>
      <c r="F75" s="526" t="s">
        <v>833</v>
      </c>
      <c r="G75" s="526" t="s">
        <v>841</v>
      </c>
      <c r="H75" s="526" t="s">
        <v>838</v>
      </c>
      <c r="I75" s="526" t="s">
        <v>834</v>
      </c>
      <c r="J75" s="527"/>
      <c r="K75" s="527"/>
      <c r="L75" s="527"/>
      <c r="M75" s="527"/>
      <c r="N75" s="527"/>
      <c r="O75" s="527"/>
      <c r="P75" s="527"/>
      <c r="Q75" s="527"/>
      <c r="R75" s="527"/>
      <c r="S75" s="527"/>
      <c r="T75" s="527"/>
      <c r="U75" s="527"/>
      <c r="V75" s="527"/>
      <c r="W75" s="527"/>
      <c r="X75" s="527"/>
      <c r="Y75" s="527"/>
      <c r="Z75" s="527"/>
      <c r="AA75" s="527"/>
      <c r="AB75" s="527"/>
      <c r="AC75" s="527"/>
      <c r="AD75" s="527"/>
      <c r="AE75" s="527"/>
      <c r="AF75" s="527"/>
      <c r="AG75" s="527"/>
      <c r="AH75" s="527"/>
      <c r="AI75" s="527"/>
      <c r="AJ75" s="527"/>
      <c r="AK75" s="528"/>
    </row>
    <row r="76" spans="1:37" s="482" customFormat="1">
      <c r="B76" s="529" t="s">
        <v>829</v>
      </c>
      <c r="C76" s="530">
        <v>25</v>
      </c>
      <c r="D76" s="530">
        <v>286</v>
      </c>
      <c r="E76" s="531">
        <v>22.14</v>
      </c>
      <c r="F76" s="532">
        <f>C76*D76*E76</f>
        <v>158301</v>
      </c>
      <c r="G76" s="533">
        <f>F76/1000000</f>
        <v>0.158301</v>
      </c>
      <c r="H76" s="534">
        <v>1</v>
      </c>
      <c r="I76" s="535">
        <f t="shared" ref="I76:I77" si="68">G76*H76</f>
        <v>0.158301</v>
      </c>
      <c r="J76" s="534"/>
      <c r="K76" s="534"/>
      <c r="L76" s="534"/>
      <c r="M76" s="534"/>
      <c r="N76" s="534"/>
      <c r="O76" s="534"/>
      <c r="P76" s="534"/>
      <c r="Q76" s="534"/>
      <c r="R76" s="534"/>
      <c r="S76" s="534"/>
      <c r="T76" s="534"/>
      <c r="U76" s="534"/>
      <c r="V76" s="534"/>
      <c r="W76" s="534"/>
      <c r="X76" s="534"/>
      <c r="Y76" s="534"/>
      <c r="Z76" s="534"/>
      <c r="AA76" s="534"/>
      <c r="AB76" s="534"/>
      <c r="AC76" s="534"/>
      <c r="AD76" s="534"/>
      <c r="AE76" s="534"/>
      <c r="AF76" s="534"/>
      <c r="AG76" s="534"/>
      <c r="AH76" s="534"/>
      <c r="AI76" s="534"/>
      <c r="AJ76" s="534"/>
      <c r="AK76" s="536"/>
    </row>
    <row r="77" spans="1:37" s="482" customFormat="1">
      <c r="B77" s="537" t="s">
        <v>839</v>
      </c>
      <c r="C77" s="530">
        <v>25</v>
      </c>
      <c r="D77" s="530">
        <v>143</v>
      </c>
      <c r="E77" s="531">
        <v>22.14</v>
      </c>
      <c r="F77" s="532">
        <f>C77*D77*E77</f>
        <v>79150.5</v>
      </c>
      <c r="G77" s="533">
        <f>F77/1000000</f>
        <v>7.9150499999999999E-2</v>
      </c>
      <c r="H77" s="538">
        <f>C$18</f>
        <v>13</v>
      </c>
      <c r="I77" s="535">
        <f t="shared" si="68"/>
        <v>1.0289565000000001</v>
      </c>
      <c r="J77" s="534"/>
      <c r="K77" s="534"/>
      <c r="L77" s="534"/>
      <c r="M77" s="534"/>
      <c r="N77" s="534"/>
      <c r="O77" s="534"/>
      <c r="P77" s="534"/>
      <c r="Q77" s="534"/>
      <c r="R77" s="534"/>
      <c r="S77" s="534"/>
      <c r="T77" s="534"/>
      <c r="U77" s="534"/>
      <c r="V77" s="534"/>
      <c r="W77" s="534"/>
      <c r="X77" s="534"/>
      <c r="Y77" s="534"/>
      <c r="Z77" s="534"/>
      <c r="AA77" s="534"/>
      <c r="AB77" s="534"/>
      <c r="AC77" s="534"/>
      <c r="AD77" s="534"/>
      <c r="AE77" s="534"/>
      <c r="AF77" s="534"/>
      <c r="AG77" s="534"/>
      <c r="AH77" s="534"/>
      <c r="AI77" s="534"/>
      <c r="AJ77" s="534"/>
      <c r="AK77" s="536"/>
    </row>
    <row r="78" spans="1:37" s="482" customFormat="1">
      <c r="B78" s="529" t="s">
        <v>786</v>
      </c>
      <c r="C78" s="530">
        <v>74.7</v>
      </c>
      <c r="D78" s="530">
        <v>95</v>
      </c>
      <c r="E78" s="530">
        <v>45</v>
      </c>
      <c r="F78" s="532">
        <f t="shared" ref="F78:F84" si="69">C78*D78*E78</f>
        <v>319342.5</v>
      </c>
      <c r="G78" s="533">
        <f>F78/1000000</f>
        <v>0.31934249999999997</v>
      </c>
      <c r="H78" s="534">
        <v>2</v>
      </c>
      <c r="I78" s="535">
        <f>G78*H78</f>
        <v>0.63868499999999995</v>
      </c>
      <c r="J78" s="534"/>
      <c r="K78" s="534"/>
      <c r="L78" s="534"/>
      <c r="M78" s="534"/>
      <c r="N78" s="534"/>
      <c r="O78" s="534"/>
      <c r="P78" s="534"/>
      <c r="Q78" s="534"/>
      <c r="R78" s="534"/>
      <c r="S78" s="534"/>
      <c r="T78" s="534"/>
      <c r="U78" s="534"/>
      <c r="V78" s="534"/>
      <c r="W78" s="534"/>
      <c r="X78" s="534"/>
      <c r="Y78" s="534"/>
      <c r="Z78" s="534"/>
      <c r="AA78" s="534"/>
      <c r="AB78" s="534"/>
      <c r="AC78" s="534"/>
      <c r="AD78" s="534"/>
      <c r="AE78" s="534"/>
      <c r="AF78" s="534"/>
      <c r="AG78" s="534"/>
      <c r="AH78" s="534"/>
      <c r="AI78" s="534"/>
      <c r="AJ78" s="534"/>
      <c r="AK78" s="536"/>
    </row>
    <row r="79" spans="1:37" s="482" customFormat="1">
      <c r="B79" s="529" t="s">
        <v>788</v>
      </c>
      <c r="C79" s="530">
        <v>49.7</v>
      </c>
      <c r="D79" s="530">
        <v>66.8</v>
      </c>
      <c r="E79" s="530">
        <v>37.9</v>
      </c>
      <c r="F79" s="532">
        <f t="shared" si="69"/>
        <v>125826.484</v>
      </c>
      <c r="G79" s="533">
        <f t="shared" ref="G79:G84" si="70">F79/1000000</f>
        <v>0.12582648399999999</v>
      </c>
      <c r="H79" s="534">
        <v>1</v>
      </c>
      <c r="I79" s="535">
        <f t="shared" ref="I79:I84" si="71">G79*H79</f>
        <v>0.12582648399999999</v>
      </c>
      <c r="J79" s="534"/>
      <c r="K79" s="534"/>
      <c r="L79" s="534"/>
      <c r="M79" s="534"/>
      <c r="N79" s="534"/>
      <c r="O79" s="534"/>
      <c r="P79" s="534"/>
      <c r="Q79" s="534"/>
      <c r="R79" s="534"/>
      <c r="S79" s="534"/>
      <c r="T79" s="534"/>
      <c r="U79" s="534"/>
      <c r="V79" s="534"/>
      <c r="W79" s="534"/>
      <c r="X79" s="534"/>
      <c r="Y79" s="534"/>
      <c r="Z79" s="534"/>
      <c r="AA79" s="534"/>
      <c r="AB79" s="534"/>
      <c r="AC79" s="534"/>
      <c r="AD79" s="534"/>
      <c r="AE79" s="534"/>
      <c r="AF79" s="534"/>
      <c r="AG79" s="534"/>
      <c r="AH79" s="534"/>
      <c r="AI79" s="534"/>
      <c r="AJ79" s="534"/>
      <c r="AK79" s="536"/>
    </row>
    <row r="80" spans="1:37" s="482" customFormat="1">
      <c r="B80" s="529" t="s">
        <v>789</v>
      </c>
      <c r="C80" s="530">
        <v>80</v>
      </c>
      <c r="D80" s="530">
        <v>50</v>
      </c>
      <c r="E80" s="530">
        <v>20</v>
      </c>
      <c r="F80" s="532">
        <f t="shared" si="69"/>
        <v>80000</v>
      </c>
      <c r="G80" s="533">
        <f t="shared" si="70"/>
        <v>0.08</v>
      </c>
      <c r="H80" s="534">
        <v>1</v>
      </c>
      <c r="I80" s="535">
        <f t="shared" si="71"/>
        <v>0.08</v>
      </c>
      <c r="J80" s="534"/>
      <c r="K80" s="534"/>
      <c r="L80" s="534"/>
      <c r="M80" s="534"/>
      <c r="N80" s="534"/>
      <c r="O80" s="534"/>
      <c r="P80" s="534"/>
      <c r="Q80" s="534"/>
      <c r="R80" s="534"/>
      <c r="S80" s="534"/>
      <c r="T80" s="534"/>
      <c r="U80" s="534"/>
      <c r="V80" s="534"/>
      <c r="W80" s="534"/>
      <c r="X80" s="534"/>
      <c r="Y80" s="534"/>
      <c r="Z80" s="534"/>
      <c r="AA80" s="534"/>
      <c r="AB80" s="534"/>
      <c r="AC80" s="534"/>
      <c r="AD80" s="534"/>
      <c r="AE80" s="534"/>
      <c r="AF80" s="534"/>
      <c r="AG80" s="534"/>
      <c r="AH80" s="534"/>
      <c r="AI80" s="534"/>
      <c r="AJ80" s="534"/>
      <c r="AK80" s="536"/>
    </row>
    <row r="81" spans="1:37" s="482" customFormat="1">
      <c r="B81" s="529" t="s">
        <v>790</v>
      </c>
      <c r="C81" s="530">
        <v>120</v>
      </c>
      <c r="D81" s="530">
        <v>60</v>
      </c>
      <c r="E81" s="530">
        <v>80</v>
      </c>
      <c r="F81" s="532">
        <f t="shared" si="69"/>
        <v>576000</v>
      </c>
      <c r="G81" s="533">
        <f t="shared" si="70"/>
        <v>0.57599999999999996</v>
      </c>
      <c r="H81" s="534">
        <v>1</v>
      </c>
      <c r="I81" s="535">
        <f t="shared" si="71"/>
        <v>0.57599999999999996</v>
      </c>
      <c r="J81" s="534"/>
      <c r="K81" s="534"/>
      <c r="L81" s="534"/>
      <c r="M81" s="534"/>
      <c r="N81" s="534"/>
      <c r="O81" s="534"/>
      <c r="P81" s="534"/>
      <c r="Q81" s="534"/>
      <c r="R81" s="534"/>
      <c r="S81" s="534"/>
      <c r="T81" s="534"/>
      <c r="U81" s="534"/>
      <c r="V81" s="534"/>
      <c r="W81" s="534"/>
      <c r="X81" s="534"/>
      <c r="Y81" s="534"/>
      <c r="Z81" s="534"/>
      <c r="AA81" s="534"/>
      <c r="AB81" s="534"/>
      <c r="AC81" s="534"/>
      <c r="AD81" s="534"/>
      <c r="AE81" s="534"/>
      <c r="AF81" s="534"/>
      <c r="AG81" s="534"/>
      <c r="AH81" s="534"/>
      <c r="AI81" s="534"/>
      <c r="AJ81" s="534"/>
      <c r="AK81" s="536"/>
    </row>
    <row r="82" spans="1:37" s="482" customFormat="1">
      <c r="B82" s="529" t="s">
        <v>791</v>
      </c>
      <c r="C82" s="530">
        <v>92</v>
      </c>
      <c r="D82" s="530">
        <v>31</v>
      </c>
      <c r="E82" s="530">
        <v>31</v>
      </c>
      <c r="F82" s="532">
        <f t="shared" si="69"/>
        <v>88412</v>
      </c>
      <c r="G82" s="533">
        <f t="shared" si="70"/>
        <v>8.8412000000000004E-2</v>
      </c>
      <c r="H82" s="534">
        <v>1</v>
      </c>
      <c r="I82" s="535">
        <f t="shared" si="71"/>
        <v>8.8412000000000004E-2</v>
      </c>
      <c r="J82" s="534"/>
      <c r="K82" s="534"/>
      <c r="L82" s="534"/>
      <c r="M82" s="534"/>
      <c r="N82" s="534"/>
      <c r="O82" s="534"/>
      <c r="P82" s="534"/>
      <c r="Q82" s="534"/>
      <c r="R82" s="534"/>
      <c r="S82" s="534"/>
      <c r="T82" s="534"/>
      <c r="U82" s="534"/>
      <c r="V82" s="534"/>
      <c r="W82" s="534"/>
      <c r="X82" s="534"/>
      <c r="Y82" s="534"/>
      <c r="Z82" s="534"/>
      <c r="AA82" s="534"/>
      <c r="AB82" s="534"/>
      <c r="AC82" s="534"/>
      <c r="AD82" s="534"/>
      <c r="AE82" s="534"/>
      <c r="AF82" s="534"/>
      <c r="AG82" s="534"/>
      <c r="AH82" s="534"/>
      <c r="AI82" s="534"/>
      <c r="AJ82" s="534"/>
      <c r="AK82" s="536"/>
    </row>
    <row r="83" spans="1:37" s="482" customFormat="1">
      <c r="B83" s="529" t="s">
        <v>836</v>
      </c>
      <c r="C83" s="530">
        <v>38.1</v>
      </c>
      <c r="D83" s="530">
        <v>10.3</v>
      </c>
      <c r="E83" s="530">
        <v>10.3</v>
      </c>
      <c r="F83" s="532">
        <f t="shared" si="69"/>
        <v>4042.0290000000009</v>
      </c>
      <c r="G83" s="533">
        <f t="shared" si="70"/>
        <v>4.0420290000000008E-3</v>
      </c>
      <c r="H83" s="534">
        <v>1</v>
      </c>
      <c r="I83" s="535">
        <f t="shared" si="71"/>
        <v>4.0420290000000008E-3</v>
      </c>
      <c r="J83" s="534"/>
      <c r="K83" s="534"/>
      <c r="L83" s="534"/>
      <c r="M83" s="534"/>
      <c r="N83" s="534"/>
      <c r="O83" s="534"/>
      <c r="P83" s="534"/>
      <c r="Q83" s="534"/>
      <c r="R83" s="534"/>
      <c r="S83" s="534"/>
      <c r="T83" s="534"/>
      <c r="U83" s="534"/>
      <c r="V83" s="534"/>
      <c r="W83" s="534"/>
      <c r="X83" s="534"/>
      <c r="Y83" s="534"/>
      <c r="Z83" s="534"/>
      <c r="AA83" s="534"/>
      <c r="AB83" s="534"/>
      <c r="AC83" s="534"/>
      <c r="AD83" s="534"/>
      <c r="AE83" s="534"/>
      <c r="AF83" s="534"/>
      <c r="AG83" s="534"/>
      <c r="AH83" s="534"/>
      <c r="AI83" s="534"/>
      <c r="AJ83" s="534"/>
      <c r="AK83" s="536"/>
    </row>
    <row r="84" spans="1:37" s="482" customFormat="1">
      <c r="B84" s="529" t="s">
        <v>793</v>
      </c>
      <c r="C84" s="530">
        <v>40</v>
      </c>
      <c r="D84" s="530">
        <v>30</v>
      </c>
      <c r="E84" s="530">
        <v>30.4</v>
      </c>
      <c r="F84" s="532">
        <f t="shared" si="69"/>
        <v>36480</v>
      </c>
      <c r="G84" s="533">
        <f t="shared" si="70"/>
        <v>3.6479999999999999E-2</v>
      </c>
      <c r="H84" s="530">
        <v>1</v>
      </c>
      <c r="I84" s="535">
        <f t="shared" si="71"/>
        <v>3.6479999999999999E-2</v>
      </c>
      <c r="J84" s="534"/>
      <c r="K84" s="534"/>
      <c r="L84" s="534"/>
      <c r="M84" s="534"/>
      <c r="N84" s="534"/>
      <c r="O84" s="534"/>
      <c r="P84" s="534"/>
      <c r="Q84" s="534"/>
      <c r="R84" s="534"/>
      <c r="S84" s="534"/>
      <c r="T84" s="534"/>
      <c r="U84" s="534"/>
      <c r="V84" s="534"/>
      <c r="W84" s="534"/>
      <c r="X84" s="534"/>
      <c r="Y84" s="534"/>
      <c r="Z84" s="534"/>
      <c r="AA84" s="534"/>
      <c r="AB84" s="534"/>
      <c r="AC84" s="534"/>
      <c r="AD84" s="534"/>
      <c r="AE84" s="534"/>
      <c r="AF84" s="534"/>
      <c r="AG84" s="534"/>
      <c r="AH84" s="534"/>
      <c r="AI84" s="534"/>
      <c r="AJ84" s="534"/>
      <c r="AK84" s="536"/>
    </row>
    <row r="85" spans="1:37" s="482" customFormat="1">
      <c r="B85" s="537" t="s">
        <v>12</v>
      </c>
      <c r="C85" s="530"/>
      <c r="D85" s="530"/>
      <c r="E85" s="530"/>
      <c r="F85" s="532"/>
      <c r="G85" s="533"/>
      <c r="H85" s="530"/>
      <c r="I85" s="535">
        <f>SUM(I78:I84)</f>
        <v>1.549445513</v>
      </c>
      <c r="J85" s="534"/>
      <c r="K85" s="534"/>
      <c r="L85" s="534"/>
      <c r="M85" s="534"/>
      <c r="N85" s="534"/>
      <c r="O85" s="534"/>
      <c r="P85" s="534"/>
      <c r="Q85" s="534"/>
      <c r="R85" s="534"/>
      <c r="S85" s="534"/>
      <c r="T85" s="534"/>
      <c r="U85" s="534"/>
      <c r="V85" s="534"/>
      <c r="W85" s="534"/>
      <c r="X85" s="534"/>
      <c r="Y85" s="534"/>
      <c r="Z85" s="534"/>
      <c r="AA85" s="534"/>
      <c r="AB85" s="534"/>
      <c r="AC85" s="534"/>
      <c r="AD85" s="534"/>
      <c r="AE85" s="534"/>
      <c r="AF85" s="534"/>
      <c r="AG85" s="534"/>
      <c r="AH85" s="534"/>
      <c r="AI85" s="534"/>
      <c r="AJ85" s="534"/>
      <c r="AK85" s="536"/>
    </row>
    <row r="86" spans="1:37" s="482" customFormat="1">
      <c r="B86" s="529" t="s">
        <v>835</v>
      </c>
      <c r="C86" s="530"/>
      <c r="D86" s="530"/>
      <c r="E86" s="530"/>
      <c r="F86" s="532"/>
      <c r="G86" s="533"/>
      <c r="H86" s="534"/>
      <c r="I86" s="534"/>
      <c r="J86" s="534"/>
      <c r="K86" s="534"/>
      <c r="L86" s="534"/>
      <c r="M86" s="534"/>
      <c r="N86" s="534"/>
      <c r="O86" s="534"/>
      <c r="P86" s="534"/>
      <c r="Q86" s="534"/>
      <c r="R86" s="534"/>
      <c r="S86" s="534"/>
      <c r="T86" s="534"/>
      <c r="U86" s="534"/>
      <c r="V86" s="534"/>
      <c r="W86" s="534"/>
      <c r="X86" s="534"/>
      <c r="Y86" s="534"/>
      <c r="Z86" s="534"/>
      <c r="AA86" s="534"/>
      <c r="AB86" s="534"/>
      <c r="AC86" s="534"/>
      <c r="AD86" s="534"/>
      <c r="AE86" s="535">
        <f t="shared" ref="AE86:AK86" si="72">1.1*($G$76+C$29*$G$77)</f>
        <v>1.3059832500000002</v>
      </c>
      <c r="AF86" s="535">
        <f t="shared" si="72"/>
        <v>1.3059832500000002</v>
      </c>
      <c r="AG86" s="535">
        <f t="shared" si="72"/>
        <v>1.3059832500000002</v>
      </c>
      <c r="AH86" s="535">
        <f t="shared" si="72"/>
        <v>1.3059832500000002</v>
      </c>
      <c r="AI86" s="535">
        <f t="shared" si="72"/>
        <v>1.3059832500000002</v>
      </c>
      <c r="AJ86" s="535">
        <f t="shared" si="72"/>
        <v>1.3059832500000002</v>
      </c>
      <c r="AK86" s="539">
        <f t="shared" si="72"/>
        <v>1.3059832500000002</v>
      </c>
    </row>
    <row r="87" spans="1:37" s="482" customFormat="1">
      <c r="B87" s="537" t="s">
        <v>840</v>
      </c>
      <c r="C87" s="530"/>
      <c r="D87" s="530"/>
      <c r="E87" s="530"/>
      <c r="F87" s="532"/>
      <c r="G87" s="533"/>
      <c r="H87" s="534"/>
      <c r="I87" s="534"/>
      <c r="J87" s="534"/>
      <c r="K87" s="534"/>
      <c r="L87" s="534"/>
      <c r="M87" s="534"/>
      <c r="N87" s="534"/>
      <c r="O87" s="534"/>
      <c r="P87" s="534"/>
      <c r="Q87" s="534"/>
      <c r="R87" s="534"/>
      <c r="S87" s="534"/>
      <c r="T87" s="534"/>
      <c r="U87" s="534"/>
      <c r="V87" s="534"/>
      <c r="W87" s="534"/>
      <c r="X87" s="534"/>
      <c r="Y87" s="534"/>
      <c r="Z87" s="534"/>
      <c r="AA87" s="534"/>
      <c r="AB87" s="534"/>
      <c r="AC87" s="534"/>
      <c r="AD87" s="534"/>
      <c r="AE87" s="535">
        <f>1.3*$I$85</f>
        <v>2.0142791669000002</v>
      </c>
      <c r="AF87" s="535">
        <f t="shared" ref="AF87:AK87" si="73">1.3*$I$85</f>
        <v>2.0142791669000002</v>
      </c>
      <c r="AG87" s="535">
        <f t="shared" si="73"/>
        <v>2.0142791669000002</v>
      </c>
      <c r="AH87" s="535">
        <f t="shared" si="73"/>
        <v>2.0142791669000002</v>
      </c>
      <c r="AI87" s="535">
        <f t="shared" si="73"/>
        <v>2.0142791669000002</v>
      </c>
      <c r="AJ87" s="535">
        <f t="shared" si="73"/>
        <v>2.0142791669000002</v>
      </c>
      <c r="AK87" s="539">
        <f t="shared" si="73"/>
        <v>2.0142791669000002</v>
      </c>
    </row>
    <row r="88" spans="1:37" s="482" customFormat="1" ht="17" thickBot="1">
      <c r="A88" s="762" t="s">
        <v>991</v>
      </c>
      <c r="B88" s="540" t="s">
        <v>994</v>
      </c>
      <c r="C88" s="541"/>
      <c r="D88" s="541"/>
      <c r="E88" s="541"/>
      <c r="F88" s="542"/>
      <c r="G88" s="543"/>
      <c r="H88" s="544"/>
      <c r="I88" s="544"/>
      <c r="J88" s="544"/>
      <c r="K88" s="544"/>
      <c r="L88" s="544"/>
      <c r="M88" s="544"/>
      <c r="N88" s="544"/>
      <c r="O88" s="544"/>
      <c r="P88" s="544"/>
      <c r="Q88" s="544"/>
      <c r="R88" s="544"/>
      <c r="S88" s="544"/>
      <c r="T88" s="544"/>
      <c r="U88" s="544"/>
      <c r="V88" s="544"/>
      <c r="W88" s="544"/>
      <c r="X88" s="544"/>
      <c r="Y88" s="544"/>
      <c r="Z88" s="544"/>
      <c r="AA88" s="544"/>
      <c r="AB88" s="544"/>
      <c r="AC88" s="544"/>
      <c r="AD88" s="544"/>
      <c r="AE88" s="545">
        <f>AE86+AE87</f>
        <v>3.3202624169000003</v>
      </c>
      <c r="AF88" s="545">
        <f t="shared" ref="AF88:AK88" si="74">AF86+AF87</f>
        <v>3.3202624169000003</v>
      </c>
      <c r="AG88" s="545">
        <f t="shared" si="74"/>
        <v>3.3202624169000003</v>
      </c>
      <c r="AH88" s="545">
        <f t="shared" si="74"/>
        <v>3.3202624169000003</v>
      </c>
      <c r="AI88" s="545">
        <f t="shared" si="74"/>
        <v>3.3202624169000003</v>
      </c>
      <c r="AJ88" s="545">
        <f t="shared" si="74"/>
        <v>3.3202624169000003</v>
      </c>
      <c r="AK88" s="546">
        <f t="shared" si="74"/>
        <v>3.3202624169000003</v>
      </c>
    </row>
    <row r="89" spans="1:37" ht="15" thickTop="1" thickBot="1">
      <c r="C89" s="416"/>
      <c r="D89" s="416"/>
      <c r="E89" s="416"/>
      <c r="F89" s="520"/>
      <c r="G89" s="521"/>
      <c r="AE89" s="484" t="s">
        <v>0</v>
      </c>
      <c r="AF89" s="484" t="s">
        <v>1</v>
      </c>
      <c r="AG89" s="484" t="s">
        <v>2</v>
      </c>
      <c r="AH89" s="484" t="s">
        <v>3</v>
      </c>
      <c r="AI89" s="484" t="s">
        <v>4</v>
      </c>
      <c r="AJ89" s="484" t="s">
        <v>530</v>
      </c>
      <c r="AK89" s="484" t="s">
        <v>531</v>
      </c>
    </row>
    <row r="90" spans="1:37" s="478" customFormat="1" ht="29" thickTop="1">
      <c r="B90" s="547"/>
      <c r="C90" s="548"/>
      <c r="D90" s="548"/>
      <c r="E90" s="548"/>
      <c r="F90" s="549"/>
      <c r="G90" s="550" t="s">
        <v>844</v>
      </c>
      <c r="H90" s="551" t="s">
        <v>838</v>
      </c>
      <c r="I90" s="552" t="s">
        <v>845</v>
      </c>
      <c r="J90" s="553"/>
      <c r="K90" s="553"/>
      <c r="L90" s="553"/>
      <c r="M90" s="553"/>
      <c r="N90" s="553"/>
      <c r="O90" s="553"/>
      <c r="P90" s="553"/>
      <c r="Q90" s="553"/>
      <c r="R90" s="553"/>
      <c r="S90" s="553"/>
      <c r="T90" s="553"/>
      <c r="U90" s="553"/>
      <c r="V90" s="553"/>
      <c r="W90" s="553"/>
      <c r="X90" s="553"/>
      <c r="Y90" s="553"/>
      <c r="Z90" s="553"/>
      <c r="AA90" s="553"/>
      <c r="AB90" s="553"/>
      <c r="AC90" s="553"/>
      <c r="AD90" s="553"/>
      <c r="AE90" s="553"/>
      <c r="AF90" s="553"/>
      <c r="AG90" s="553"/>
      <c r="AH90" s="553"/>
      <c r="AI90" s="553"/>
      <c r="AJ90" s="553"/>
      <c r="AK90" s="554"/>
    </row>
    <row r="91" spans="1:37" s="478" customFormat="1">
      <c r="B91" s="555" t="s">
        <v>829</v>
      </c>
      <c r="C91" s="556"/>
      <c r="D91" s="556"/>
      <c r="E91" s="556"/>
      <c r="F91" s="557"/>
      <c r="G91" s="558">
        <v>40</v>
      </c>
      <c r="H91" s="559"/>
      <c r="I91" s="559"/>
      <c r="J91" s="559"/>
      <c r="K91" s="559"/>
      <c r="L91" s="559"/>
      <c r="M91" s="559"/>
      <c r="N91" s="559"/>
      <c r="O91" s="559"/>
      <c r="P91" s="559"/>
      <c r="Q91" s="559"/>
      <c r="R91" s="559"/>
      <c r="S91" s="559"/>
      <c r="T91" s="559"/>
      <c r="U91" s="559"/>
      <c r="V91" s="559"/>
      <c r="W91" s="559"/>
      <c r="X91" s="559"/>
      <c r="Y91" s="559"/>
      <c r="Z91" s="559"/>
      <c r="AA91" s="559"/>
      <c r="AB91" s="559"/>
      <c r="AC91" s="559"/>
      <c r="AD91" s="559"/>
      <c r="AE91" s="559"/>
      <c r="AF91" s="559"/>
      <c r="AG91" s="559"/>
      <c r="AH91" s="559"/>
      <c r="AI91" s="559"/>
      <c r="AJ91" s="559"/>
      <c r="AK91" s="560"/>
    </row>
    <row r="92" spans="1:37" s="478" customFormat="1">
      <c r="B92" s="561" t="s">
        <v>839</v>
      </c>
      <c r="C92" s="556"/>
      <c r="D92" s="556"/>
      <c r="E92" s="556"/>
      <c r="F92" s="557"/>
      <c r="G92" s="558">
        <v>20</v>
      </c>
      <c r="H92" s="559"/>
      <c r="I92" s="559"/>
      <c r="J92" s="559"/>
      <c r="K92" s="559"/>
      <c r="L92" s="559"/>
      <c r="M92" s="559"/>
      <c r="N92" s="559"/>
      <c r="O92" s="559"/>
      <c r="P92" s="559"/>
      <c r="Q92" s="559"/>
      <c r="R92" s="559"/>
      <c r="S92" s="559"/>
      <c r="T92" s="559"/>
      <c r="U92" s="559"/>
      <c r="V92" s="559"/>
      <c r="W92" s="559"/>
      <c r="X92" s="559"/>
      <c r="Y92" s="559"/>
      <c r="Z92" s="559"/>
      <c r="AA92" s="559"/>
      <c r="AB92" s="559"/>
      <c r="AC92" s="559"/>
      <c r="AD92" s="559"/>
      <c r="AE92" s="559"/>
      <c r="AF92" s="559"/>
      <c r="AG92" s="559"/>
      <c r="AH92" s="559"/>
      <c r="AI92" s="559"/>
      <c r="AJ92" s="559"/>
      <c r="AK92" s="560"/>
    </row>
    <row r="93" spans="1:37" s="478" customFormat="1">
      <c r="B93" s="555" t="s">
        <v>786</v>
      </c>
      <c r="C93" s="556"/>
      <c r="D93" s="556"/>
      <c r="E93" s="556"/>
      <c r="F93" s="557"/>
      <c r="G93" s="559">
        <v>750</v>
      </c>
      <c r="H93" s="559">
        <v>2</v>
      </c>
      <c r="I93" s="562">
        <f>G93*H93</f>
        <v>1500</v>
      </c>
      <c r="J93" s="559"/>
      <c r="K93" s="559"/>
      <c r="L93" s="559"/>
      <c r="M93" s="559"/>
      <c r="N93" s="559"/>
      <c r="O93" s="559"/>
      <c r="P93" s="559"/>
      <c r="Q93" s="559"/>
      <c r="R93" s="559"/>
      <c r="S93" s="559"/>
      <c r="T93" s="559"/>
      <c r="U93" s="559"/>
      <c r="V93" s="559"/>
      <c r="W93" s="559"/>
      <c r="X93" s="559"/>
      <c r="Y93" s="559"/>
      <c r="Z93" s="559"/>
      <c r="AA93" s="559"/>
      <c r="AB93" s="559"/>
      <c r="AC93" s="559"/>
      <c r="AD93" s="559"/>
      <c r="AE93" s="559"/>
      <c r="AF93" s="559"/>
      <c r="AG93" s="559"/>
      <c r="AH93" s="559"/>
      <c r="AI93" s="559"/>
      <c r="AJ93" s="559"/>
      <c r="AK93" s="560"/>
    </row>
    <row r="94" spans="1:37" s="478" customFormat="1">
      <c r="B94" s="555" t="s">
        <v>843</v>
      </c>
      <c r="C94" s="556"/>
      <c r="D94" s="556"/>
      <c r="E94" s="556"/>
      <c r="F94" s="557"/>
      <c r="G94" s="559">
        <v>180</v>
      </c>
      <c r="H94" s="559">
        <v>1</v>
      </c>
      <c r="I94" s="562">
        <f t="shared" ref="I94:I100" si="75">G94*H94</f>
        <v>180</v>
      </c>
      <c r="J94" s="559"/>
      <c r="K94" s="559"/>
      <c r="L94" s="559"/>
      <c r="M94" s="559"/>
      <c r="N94" s="559"/>
      <c r="O94" s="559"/>
      <c r="P94" s="559"/>
      <c r="Q94" s="559"/>
      <c r="R94" s="559"/>
      <c r="S94" s="559"/>
      <c r="T94" s="559"/>
      <c r="U94" s="559"/>
      <c r="V94" s="559"/>
      <c r="W94" s="559"/>
      <c r="X94" s="559"/>
      <c r="Y94" s="559"/>
      <c r="Z94" s="559"/>
      <c r="AA94" s="559"/>
      <c r="AB94" s="559"/>
      <c r="AC94" s="559"/>
      <c r="AD94" s="559"/>
      <c r="AE94" s="559"/>
      <c r="AF94" s="559"/>
      <c r="AG94" s="559"/>
      <c r="AH94" s="559"/>
      <c r="AI94" s="559"/>
      <c r="AJ94" s="559"/>
      <c r="AK94" s="560"/>
    </row>
    <row r="95" spans="1:37" s="478" customFormat="1">
      <c r="B95" s="555" t="s">
        <v>842</v>
      </c>
      <c r="C95" s="556"/>
      <c r="D95" s="556"/>
      <c r="E95" s="556"/>
      <c r="F95" s="557"/>
      <c r="G95" s="559">
        <v>90</v>
      </c>
      <c r="H95" s="559">
        <v>1</v>
      </c>
      <c r="I95" s="562">
        <f t="shared" si="75"/>
        <v>90</v>
      </c>
      <c r="J95" s="559"/>
      <c r="K95" s="559"/>
      <c r="L95" s="559"/>
      <c r="M95" s="559"/>
      <c r="N95" s="559"/>
      <c r="O95" s="559"/>
      <c r="P95" s="559"/>
      <c r="Q95" s="559"/>
      <c r="R95" s="559"/>
      <c r="S95" s="559"/>
      <c r="T95" s="559"/>
      <c r="U95" s="559"/>
      <c r="V95" s="559"/>
      <c r="W95" s="559"/>
      <c r="X95" s="559"/>
      <c r="Y95" s="559"/>
      <c r="Z95" s="559"/>
      <c r="AA95" s="559"/>
      <c r="AB95" s="559"/>
      <c r="AC95" s="559"/>
      <c r="AD95" s="559"/>
      <c r="AE95" s="559"/>
      <c r="AF95" s="559"/>
      <c r="AG95" s="559"/>
      <c r="AH95" s="559"/>
      <c r="AI95" s="559"/>
      <c r="AJ95" s="559"/>
      <c r="AK95" s="560"/>
    </row>
    <row r="96" spans="1:37" s="478" customFormat="1">
      <c r="B96" s="561" t="s">
        <v>789</v>
      </c>
      <c r="C96" s="556"/>
      <c r="D96" s="556"/>
      <c r="E96" s="556"/>
      <c r="F96" s="557"/>
      <c r="G96" s="559">
        <v>185</v>
      </c>
      <c r="H96" s="559">
        <v>1</v>
      </c>
      <c r="I96" s="562">
        <f t="shared" si="75"/>
        <v>185</v>
      </c>
      <c r="J96" s="559"/>
      <c r="K96" s="559"/>
      <c r="L96" s="559"/>
      <c r="M96" s="559"/>
      <c r="N96" s="559"/>
      <c r="O96" s="559"/>
      <c r="P96" s="559"/>
      <c r="Q96" s="559"/>
      <c r="R96" s="559"/>
      <c r="S96" s="559"/>
      <c r="T96" s="559"/>
      <c r="U96" s="559"/>
      <c r="V96" s="559"/>
      <c r="W96" s="559"/>
      <c r="X96" s="559"/>
      <c r="Y96" s="559"/>
      <c r="Z96" s="559"/>
      <c r="AA96" s="559"/>
      <c r="AB96" s="559"/>
      <c r="AC96" s="559"/>
      <c r="AD96" s="559"/>
      <c r="AE96" s="559"/>
      <c r="AF96" s="559"/>
      <c r="AG96" s="559"/>
      <c r="AH96" s="559"/>
      <c r="AI96" s="559"/>
      <c r="AJ96" s="559"/>
      <c r="AK96" s="560"/>
    </row>
    <row r="97" spans="1:37" s="478" customFormat="1">
      <c r="B97" s="561" t="s">
        <v>790</v>
      </c>
      <c r="C97" s="556"/>
      <c r="D97" s="556"/>
      <c r="E97" s="556"/>
      <c r="F97" s="557"/>
      <c r="G97" s="559">
        <v>150</v>
      </c>
      <c r="H97" s="559">
        <v>1</v>
      </c>
      <c r="I97" s="562">
        <f t="shared" si="75"/>
        <v>150</v>
      </c>
      <c r="J97" s="559"/>
      <c r="K97" s="559"/>
      <c r="L97" s="559"/>
      <c r="M97" s="559"/>
      <c r="N97" s="559"/>
      <c r="O97" s="559"/>
      <c r="P97" s="559"/>
      <c r="Q97" s="559"/>
      <c r="R97" s="559"/>
      <c r="S97" s="559"/>
      <c r="T97" s="559"/>
      <c r="U97" s="559"/>
      <c r="V97" s="559"/>
      <c r="W97" s="559"/>
      <c r="X97" s="559"/>
      <c r="Y97" s="559"/>
      <c r="Z97" s="559"/>
      <c r="AA97" s="559"/>
      <c r="AB97" s="559"/>
      <c r="AC97" s="559"/>
      <c r="AD97" s="559"/>
      <c r="AE97" s="559"/>
      <c r="AF97" s="559"/>
      <c r="AG97" s="559"/>
      <c r="AH97" s="559"/>
      <c r="AI97" s="559"/>
      <c r="AJ97" s="559"/>
      <c r="AK97" s="560"/>
    </row>
    <row r="98" spans="1:37" s="478" customFormat="1">
      <c r="B98" s="561" t="s">
        <v>791</v>
      </c>
      <c r="C98" s="556"/>
      <c r="D98" s="556"/>
      <c r="E98" s="556"/>
      <c r="F98" s="557"/>
      <c r="G98" s="559">
        <v>80</v>
      </c>
      <c r="H98" s="559">
        <v>1</v>
      </c>
      <c r="I98" s="562">
        <f t="shared" si="75"/>
        <v>80</v>
      </c>
      <c r="J98" s="559"/>
      <c r="K98" s="559"/>
      <c r="L98" s="559"/>
      <c r="M98" s="559"/>
      <c r="N98" s="559"/>
      <c r="O98" s="559"/>
      <c r="P98" s="559"/>
      <c r="Q98" s="559"/>
      <c r="R98" s="559"/>
      <c r="S98" s="559"/>
      <c r="T98" s="559"/>
      <c r="U98" s="559"/>
      <c r="V98" s="559"/>
      <c r="W98" s="559"/>
      <c r="X98" s="559"/>
      <c r="Y98" s="559"/>
      <c r="Z98" s="559"/>
      <c r="AA98" s="559"/>
      <c r="AB98" s="559"/>
      <c r="AC98" s="559"/>
      <c r="AD98" s="559"/>
      <c r="AE98" s="559"/>
      <c r="AF98" s="559"/>
      <c r="AG98" s="559"/>
      <c r="AH98" s="559"/>
      <c r="AI98" s="559"/>
      <c r="AJ98" s="559"/>
      <c r="AK98" s="560"/>
    </row>
    <row r="99" spans="1:37" s="478" customFormat="1">
      <c r="B99" s="561" t="s">
        <v>836</v>
      </c>
      <c r="C99" s="556"/>
      <c r="D99" s="556"/>
      <c r="E99" s="556"/>
      <c r="F99" s="557"/>
      <c r="G99" s="559">
        <v>24</v>
      </c>
      <c r="H99" s="559">
        <v>1</v>
      </c>
      <c r="I99" s="562">
        <f t="shared" si="75"/>
        <v>24</v>
      </c>
      <c r="J99" s="559"/>
      <c r="K99" s="559"/>
      <c r="L99" s="559"/>
      <c r="M99" s="559"/>
      <c r="N99" s="559"/>
      <c r="O99" s="559"/>
      <c r="P99" s="559"/>
      <c r="Q99" s="559"/>
      <c r="R99" s="559"/>
      <c r="S99" s="559"/>
      <c r="T99" s="559"/>
      <c r="U99" s="559"/>
      <c r="V99" s="559"/>
      <c r="W99" s="559"/>
      <c r="X99" s="559"/>
      <c r="Y99" s="559"/>
      <c r="Z99" s="559"/>
      <c r="AA99" s="559"/>
      <c r="AB99" s="559"/>
      <c r="AC99" s="559"/>
      <c r="AD99" s="559"/>
      <c r="AE99" s="559"/>
      <c r="AF99" s="559"/>
      <c r="AG99" s="559"/>
      <c r="AH99" s="559"/>
      <c r="AI99" s="559"/>
      <c r="AJ99" s="559"/>
      <c r="AK99" s="560"/>
    </row>
    <row r="100" spans="1:37" s="478" customFormat="1">
      <c r="B100" s="561" t="s">
        <v>793</v>
      </c>
      <c r="C100" s="556"/>
      <c r="D100" s="556"/>
      <c r="E100" s="556"/>
      <c r="F100" s="557"/>
      <c r="G100" s="559">
        <v>55</v>
      </c>
      <c r="H100" s="559">
        <v>1</v>
      </c>
      <c r="I100" s="562">
        <f t="shared" si="75"/>
        <v>55</v>
      </c>
      <c r="J100" s="559"/>
      <c r="K100" s="559"/>
      <c r="L100" s="559"/>
      <c r="M100" s="559"/>
      <c r="N100" s="559"/>
      <c r="O100" s="559"/>
      <c r="P100" s="559"/>
      <c r="Q100" s="559"/>
      <c r="R100" s="559"/>
      <c r="S100" s="559"/>
      <c r="T100" s="559"/>
      <c r="U100" s="559"/>
      <c r="V100" s="559"/>
      <c r="W100" s="559"/>
      <c r="X100" s="559"/>
      <c r="Y100" s="559"/>
      <c r="Z100" s="559"/>
      <c r="AA100" s="559"/>
      <c r="AB100" s="559"/>
      <c r="AC100" s="559"/>
      <c r="AD100" s="559"/>
      <c r="AE100" s="559"/>
      <c r="AF100" s="559"/>
      <c r="AG100" s="559"/>
      <c r="AH100" s="559"/>
      <c r="AI100" s="559"/>
      <c r="AJ100" s="559"/>
      <c r="AK100" s="560"/>
    </row>
    <row r="101" spans="1:37" s="478" customFormat="1">
      <c r="B101" s="555" t="s">
        <v>12</v>
      </c>
      <c r="C101" s="556"/>
      <c r="D101" s="556"/>
      <c r="E101" s="556"/>
      <c r="F101" s="557"/>
      <c r="G101" s="563"/>
      <c r="H101" s="559"/>
      <c r="I101" s="562">
        <f>SUM(I93:I100)</f>
        <v>2264</v>
      </c>
      <c r="J101" s="559"/>
      <c r="K101" s="559"/>
      <c r="L101" s="559"/>
      <c r="M101" s="559"/>
      <c r="N101" s="559"/>
      <c r="O101" s="559"/>
      <c r="P101" s="559"/>
      <c r="Q101" s="559"/>
      <c r="R101" s="559"/>
      <c r="S101" s="559"/>
      <c r="T101" s="559"/>
      <c r="U101" s="559"/>
      <c r="V101" s="559"/>
      <c r="W101" s="559"/>
      <c r="X101" s="559"/>
      <c r="Y101" s="559"/>
      <c r="Z101" s="559"/>
      <c r="AA101" s="559"/>
      <c r="AB101" s="559"/>
      <c r="AC101" s="559"/>
      <c r="AD101" s="559"/>
      <c r="AE101" s="559"/>
      <c r="AF101" s="559"/>
      <c r="AG101" s="559"/>
      <c r="AH101" s="559"/>
      <c r="AI101" s="559"/>
      <c r="AJ101" s="559"/>
      <c r="AK101" s="560"/>
    </row>
    <row r="102" spans="1:37" s="478" customFormat="1">
      <c r="B102" s="561" t="s">
        <v>846</v>
      </c>
      <c r="C102" s="556"/>
      <c r="D102" s="556"/>
      <c r="E102" s="556"/>
      <c r="F102" s="557"/>
      <c r="G102" s="563"/>
      <c r="H102" s="559"/>
      <c r="I102" s="559"/>
      <c r="J102" s="559"/>
      <c r="K102" s="559"/>
      <c r="L102" s="559"/>
      <c r="M102" s="559"/>
      <c r="N102" s="559"/>
      <c r="O102" s="559"/>
      <c r="P102" s="559"/>
      <c r="Q102" s="559"/>
      <c r="R102" s="559"/>
      <c r="S102" s="559"/>
      <c r="T102" s="559"/>
      <c r="U102" s="559"/>
      <c r="V102" s="559"/>
      <c r="W102" s="559"/>
      <c r="X102" s="559"/>
      <c r="Y102" s="559"/>
      <c r="Z102" s="559"/>
      <c r="AA102" s="559"/>
      <c r="AB102" s="559"/>
      <c r="AC102" s="559"/>
      <c r="AD102" s="559"/>
      <c r="AE102" s="562">
        <f>1.1*($G$91+C$29*$G$92)</f>
        <v>330</v>
      </c>
      <c r="AF102" s="562">
        <f t="shared" ref="AF102:AK102" si="76">1.1*($G$91+D$29*$G$92)</f>
        <v>330</v>
      </c>
      <c r="AG102" s="562">
        <f t="shared" si="76"/>
        <v>330</v>
      </c>
      <c r="AH102" s="562">
        <f t="shared" si="76"/>
        <v>330</v>
      </c>
      <c r="AI102" s="562">
        <f t="shared" si="76"/>
        <v>330</v>
      </c>
      <c r="AJ102" s="562">
        <f t="shared" si="76"/>
        <v>330</v>
      </c>
      <c r="AK102" s="564">
        <f t="shared" si="76"/>
        <v>330</v>
      </c>
    </row>
    <row r="103" spans="1:37" s="478" customFormat="1">
      <c r="B103" s="555" t="s">
        <v>847</v>
      </c>
      <c r="C103" s="556"/>
      <c r="D103" s="556"/>
      <c r="E103" s="556"/>
      <c r="F103" s="557"/>
      <c r="G103" s="563"/>
      <c r="H103" s="559"/>
      <c r="I103" s="559"/>
      <c r="J103" s="559"/>
      <c r="K103" s="559"/>
      <c r="L103" s="559"/>
      <c r="M103" s="559"/>
      <c r="N103" s="559"/>
      <c r="O103" s="559"/>
      <c r="P103" s="559"/>
      <c r="Q103" s="559"/>
      <c r="R103" s="559"/>
      <c r="S103" s="559"/>
      <c r="T103" s="559"/>
      <c r="U103" s="559"/>
      <c r="V103" s="559"/>
      <c r="W103" s="559"/>
      <c r="X103" s="559"/>
      <c r="Y103" s="559"/>
      <c r="Z103" s="559"/>
      <c r="AA103" s="559"/>
      <c r="AB103" s="559"/>
      <c r="AC103" s="559"/>
      <c r="AD103" s="559"/>
      <c r="AE103" s="562">
        <f>1.3*$I$101</f>
        <v>2943.2000000000003</v>
      </c>
      <c r="AF103" s="562">
        <f t="shared" ref="AF103:AK103" si="77">1.3*$I$101</f>
        <v>2943.2000000000003</v>
      </c>
      <c r="AG103" s="562">
        <f t="shared" si="77"/>
        <v>2943.2000000000003</v>
      </c>
      <c r="AH103" s="562">
        <f t="shared" si="77"/>
        <v>2943.2000000000003</v>
      </c>
      <c r="AI103" s="562">
        <f t="shared" si="77"/>
        <v>2943.2000000000003</v>
      </c>
      <c r="AJ103" s="562">
        <f t="shared" si="77"/>
        <v>2943.2000000000003</v>
      </c>
      <c r="AK103" s="564">
        <f t="shared" si="77"/>
        <v>2943.2000000000003</v>
      </c>
    </row>
    <row r="104" spans="1:37" s="478" customFormat="1" ht="17" thickBot="1">
      <c r="A104" s="763" t="s">
        <v>991</v>
      </c>
      <c r="B104" s="565" t="s">
        <v>995</v>
      </c>
      <c r="C104" s="566"/>
      <c r="D104" s="566"/>
      <c r="E104" s="566"/>
      <c r="F104" s="567"/>
      <c r="G104" s="568"/>
      <c r="H104" s="569"/>
      <c r="I104" s="569"/>
      <c r="J104" s="569"/>
      <c r="K104" s="569"/>
      <c r="L104" s="569"/>
      <c r="M104" s="569"/>
      <c r="N104" s="569"/>
      <c r="O104" s="569"/>
      <c r="P104" s="569"/>
      <c r="Q104" s="569"/>
      <c r="R104" s="569"/>
      <c r="S104" s="569"/>
      <c r="T104" s="569"/>
      <c r="U104" s="569"/>
      <c r="V104" s="569"/>
      <c r="W104" s="569"/>
      <c r="X104" s="569"/>
      <c r="Y104" s="569"/>
      <c r="Z104" s="569"/>
      <c r="AA104" s="569"/>
      <c r="AB104" s="569"/>
      <c r="AC104" s="569"/>
      <c r="AD104" s="569"/>
      <c r="AE104" s="570">
        <f>(AE103+AE102)/1000</f>
        <v>3.2732000000000001</v>
      </c>
      <c r="AF104" s="570">
        <f t="shared" ref="AF104:AK104" si="78">(AF103+AF102)/1000</f>
        <v>3.2732000000000001</v>
      </c>
      <c r="AG104" s="570">
        <f t="shared" si="78"/>
        <v>3.2732000000000001</v>
      </c>
      <c r="AH104" s="570">
        <f t="shared" si="78"/>
        <v>3.2732000000000001</v>
      </c>
      <c r="AI104" s="570">
        <f t="shared" si="78"/>
        <v>3.2732000000000001</v>
      </c>
      <c r="AJ104" s="570">
        <f t="shared" si="78"/>
        <v>3.2732000000000001</v>
      </c>
      <c r="AK104" s="571">
        <f t="shared" si="78"/>
        <v>3.2732000000000001</v>
      </c>
    </row>
    <row r="105" spans="1:37" ht="14" thickTop="1">
      <c r="C105" s="416"/>
      <c r="D105" s="416"/>
      <c r="E105" s="416"/>
      <c r="F105" s="520"/>
      <c r="G105" s="521"/>
    </row>
    <row r="106" spans="1:37">
      <c r="C106" s="416"/>
      <c r="D106" s="416"/>
      <c r="E106" s="416"/>
      <c r="F106" s="520"/>
      <c r="G106" s="521"/>
    </row>
    <row r="107" spans="1:37">
      <c r="C107" s="416"/>
      <c r="D107" s="416"/>
      <c r="E107" s="416"/>
      <c r="F107" s="520"/>
      <c r="G107" s="521"/>
    </row>
    <row r="108" spans="1:37">
      <c r="C108" s="416"/>
      <c r="D108" s="416"/>
      <c r="E108" s="416"/>
      <c r="F108" s="520"/>
      <c r="G108" s="521"/>
    </row>
    <row r="109" spans="1:37">
      <c r="C109" s="416"/>
      <c r="D109" s="416"/>
      <c r="E109" s="416"/>
      <c r="F109" s="520"/>
      <c r="G109" s="521"/>
    </row>
    <row r="110" spans="1:37">
      <c r="C110" s="416"/>
      <c r="D110" s="416"/>
      <c r="E110" s="416"/>
      <c r="F110" s="520"/>
      <c r="G110" s="521"/>
    </row>
    <row r="111" spans="1:37">
      <c r="C111" s="416"/>
      <c r="D111" s="416"/>
      <c r="E111" s="416"/>
      <c r="F111" s="520"/>
      <c r="G111" s="521"/>
    </row>
    <row r="112" spans="1:37">
      <c r="C112" s="416"/>
      <c r="D112" s="416"/>
      <c r="E112" s="416"/>
      <c r="F112" s="520"/>
      <c r="G112" s="521"/>
    </row>
    <row r="113" spans="2:7">
      <c r="C113" s="416"/>
      <c r="D113" s="416"/>
      <c r="E113" s="416"/>
      <c r="F113" s="520"/>
      <c r="G113" s="521"/>
    </row>
    <row r="114" spans="2:7" ht="15">
      <c r="B114" s="481" t="s">
        <v>807</v>
      </c>
      <c r="C114" s="483"/>
      <c r="D114" s="74"/>
    </row>
    <row r="115" spans="2:7">
      <c r="B115" s="482" t="s">
        <v>808</v>
      </c>
      <c r="C115" s="483" t="s">
        <v>809</v>
      </c>
      <c r="D115" s="74" t="s">
        <v>810</v>
      </c>
    </row>
    <row r="116" spans="2:7">
      <c r="B116" s="482" t="s">
        <v>811</v>
      </c>
      <c r="C116" s="483">
        <v>1</v>
      </c>
      <c r="D116" s="74"/>
    </row>
    <row r="117" spans="2:7">
      <c r="B117" s="482" t="s">
        <v>757</v>
      </c>
      <c r="C117" s="483">
        <v>0.5</v>
      </c>
      <c r="D117" s="74" t="s">
        <v>812</v>
      </c>
    </row>
    <row r="118" spans="2:7">
      <c r="B118" s="482" t="s">
        <v>759</v>
      </c>
      <c r="C118" s="483">
        <f>1/6</f>
        <v>0.16666666666666666</v>
      </c>
      <c r="D118" s="74" t="s">
        <v>813</v>
      </c>
    </row>
    <row r="119" spans="2:7">
      <c r="B119" s="482" t="s">
        <v>760</v>
      </c>
      <c r="C119" s="483">
        <v>1</v>
      </c>
      <c r="D119" s="74"/>
    </row>
    <row r="120" spans="2:7">
      <c r="B120" s="482" t="s">
        <v>761</v>
      </c>
      <c r="C120" s="483">
        <v>1</v>
      </c>
      <c r="D120" s="74"/>
    </row>
    <row r="121" spans="2:7">
      <c r="B121" s="482" t="s">
        <v>763</v>
      </c>
      <c r="C121" s="483">
        <v>1</v>
      </c>
      <c r="D121" s="74"/>
    </row>
    <row r="122" spans="2:7">
      <c r="B122" s="482" t="s">
        <v>764</v>
      </c>
      <c r="C122" s="483">
        <v>1</v>
      </c>
      <c r="D122" s="74"/>
    </row>
    <row r="123" spans="2:7">
      <c r="B123" s="482" t="s">
        <v>814</v>
      </c>
      <c r="C123" s="483">
        <v>1</v>
      </c>
      <c r="D123" s="74"/>
    </row>
    <row r="124" spans="2:7">
      <c r="B124" s="482" t="s">
        <v>770</v>
      </c>
      <c r="C124" s="483">
        <v>0.5</v>
      </c>
      <c r="D124" s="74" t="s">
        <v>812</v>
      </c>
    </row>
    <row r="125" spans="2:7">
      <c r="B125" s="482" t="s">
        <v>771</v>
      </c>
      <c r="C125" s="483">
        <v>0.33300000000000002</v>
      </c>
      <c r="D125" s="74"/>
    </row>
    <row r="126" spans="2:7">
      <c r="B126" s="482" t="s">
        <v>773</v>
      </c>
      <c r="C126" s="483">
        <v>26</v>
      </c>
      <c r="D126" s="74" t="s">
        <v>815</v>
      </c>
    </row>
    <row r="127" spans="2:7">
      <c r="B127" s="482" t="s">
        <v>774</v>
      </c>
      <c r="C127" s="483">
        <v>45</v>
      </c>
      <c r="D127" s="74" t="s">
        <v>815</v>
      </c>
    </row>
    <row r="128" spans="2:7">
      <c r="B128" s="482" t="s">
        <v>816</v>
      </c>
      <c r="C128" s="483">
        <v>45</v>
      </c>
      <c r="D128" s="74" t="s">
        <v>815</v>
      </c>
    </row>
    <row r="129" spans="2:4">
      <c r="B129" s="482" t="s">
        <v>817</v>
      </c>
      <c r="C129" s="483">
        <v>20</v>
      </c>
      <c r="D129" s="74"/>
    </row>
    <row r="130" spans="2:4">
      <c r="B130" s="482" t="s">
        <v>777</v>
      </c>
      <c r="C130" s="483">
        <v>1</v>
      </c>
      <c r="D130" s="74"/>
    </row>
    <row r="131" spans="2:4">
      <c r="B131" s="482" t="s">
        <v>778</v>
      </c>
      <c r="C131" s="483">
        <v>31</v>
      </c>
      <c r="D131" s="74" t="s">
        <v>815</v>
      </c>
    </row>
    <row r="132" spans="2:4">
      <c r="B132" s="482" t="s">
        <v>779</v>
      </c>
      <c r="C132" s="483">
        <v>30</v>
      </c>
      <c r="D132" s="74" t="s">
        <v>815</v>
      </c>
    </row>
    <row r="133" spans="2:4">
      <c r="B133" s="482" t="s">
        <v>780</v>
      </c>
      <c r="C133" s="483">
        <v>2</v>
      </c>
      <c r="D133" s="74"/>
    </row>
    <row r="134" spans="2:4">
      <c r="B134" s="482" t="s">
        <v>781</v>
      </c>
      <c r="C134" s="483">
        <v>14</v>
      </c>
      <c r="D134" s="74" t="s">
        <v>815</v>
      </c>
    </row>
    <row r="135" spans="2:4" ht="15">
      <c r="B135" s="479" t="s">
        <v>818</v>
      </c>
      <c r="C135" s="480"/>
      <c r="D135" s="74"/>
    </row>
    <row r="136" spans="2:4">
      <c r="B136" s="478" t="s">
        <v>756</v>
      </c>
      <c r="C136" s="480">
        <v>1</v>
      </c>
      <c r="D136" s="74"/>
    </row>
    <row r="137" spans="2:4">
      <c r="B137" s="478" t="s">
        <v>757</v>
      </c>
      <c r="C137" s="480">
        <v>1</v>
      </c>
      <c r="D137" s="74"/>
    </row>
    <row r="138" spans="2:4">
      <c r="B138" s="478" t="s">
        <v>758</v>
      </c>
      <c r="C138" s="480">
        <v>1</v>
      </c>
      <c r="D138" s="74"/>
    </row>
    <row r="139" spans="2:4">
      <c r="B139" s="478" t="s">
        <v>759</v>
      </c>
      <c r="C139" s="480">
        <v>2</v>
      </c>
      <c r="D139" s="74"/>
    </row>
    <row r="140" spans="2:4">
      <c r="B140" s="478" t="s">
        <v>761</v>
      </c>
      <c r="C140" s="480">
        <v>1</v>
      </c>
      <c r="D140" s="74"/>
    </row>
    <row r="141" spans="2:4">
      <c r="B141" s="478" t="s">
        <v>762</v>
      </c>
      <c r="C141" s="480">
        <v>1</v>
      </c>
      <c r="D141" s="74"/>
    </row>
    <row r="142" spans="2:4">
      <c r="B142" s="478" t="s">
        <v>765</v>
      </c>
      <c r="C142" s="480">
        <v>4</v>
      </c>
      <c r="D142" s="74"/>
    </row>
    <row r="143" spans="2:4">
      <c r="B143" s="478" t="s">
        <v>766</v>
      </c>
      <c r="C143" s="480">
        <v>3</v>
      </c>
      <c r="D143" s="74"/>
    </row>
    <row r="144" spans="2:4">
      <c r="B144" s="478" t="s">
        <v>819</v>
      </c>
      <c r="C144" s="480">
        <v>1</v>
      </c>
      <c r="D144" s="74"/>
    </row>
    <row r="145" spans="2:4">
      <c r="B145" s="478" t="s">
        <v>820</v>
      </c>
      <c r="C145" s="480">
        <v>1</v>
      </c>
      <c r="D145" s="74"/>
    </row>
    <row r="146" spans="2:4">
      <c r="B146" s="478" t="s">
        <v>773</v>
      </c>
      <c r="C146" s="480">
        <v>26</v>
      </c>
      <c r="D146" s="74" t="s">
        <v>815</v>
      </c>
    </row>
    <row r="147" spans="2:4">
      <c r="B147" s="478" t="s">
        <v>774</v>
      </c>
      <c r="C147" s="480">
        <v>51</v>
      </c>
      <c r="D147" s="74" t="s">
        <v>815</v>
      </c>
    </row>
    <row r="148" spans="2:4">
      <c r="B148" s="478" t="s">
        <v>775</v>
      </c>
      <c r="C148" s="480">
        <v>51</v>
      </c>
      <c r="D148" s="74" t="s">
        <v>815</v>
      </c>
    </row>
    <row r="149" spans="2:4">
      <c r="B149" s="478" t="s">
        <v>776</v>
      </c>
      <c r="C149" s="480">
        <v>8</v>
      </c>
      <c r="D149" s="74"/>
    </row>
    <row r="150" spans="2:4">
      <c r="B150" s="478" t="s">
        <v>777</v>
      </c>
      <c r="C150" s="480">
        <v>2</v>
      </c>
      <c r="D150" s="74"/>
    </row>
    <row r="151" spans="2:4">
      <c r="B151" s="478" t="s">
        <v>778</v>
      </c>
      <c r="C151" s="480">
        <v>26</v>
      </c>
      <c r="D151" s="74" t="s">
        <v>815</v>
      </c>
    </row>
    <row r="152" spans="2:4">
      <c r="B152" s="478" t="s">
        <v>779</v>
      </c>
      <c r="C152" s="480">
        <v>25</v>
      </c>
      <c r="D152" s="74"/>
    </row>
    <row r="153" spans="2:4">
      <c r="B153" s="478" t="s">
        <v>780</v>
      </c>
      <c r="C153" s="480">
        <v>12</v>
      </c>
      <c r="D153" s="74"/>
    </row>
    <row r="154" spans="2:4">
      <c r="B154" s="478" t="s">
        <v>781</v>
      </c>
      <c r="C154" s="480">
        <v>14</v>
      </c>
      <c r="D154" s="74" t="s">
        <v>815</v>
      </c>
    </row>
    <row r="155" spans="2:4">
      <c r="B155" s="478" t="s">
        <v>821</v>
      </c>
      <c r="C155" s="480">
        <v>2</v>
      </c>
      <c r="D155" s="74"/>
    </row>
    <row r="156" spans="2:4">
      <c r="B156" t="s">
        <v>822</v>
      </c>
      <c r="C156" s="163">
        <v>1</v>
      </c>
    </row>
    <row r="157" spans="2:4">
      <c r="B157" t="s">
        <v>784</v>
      </c>
      <c r="C157" s="163">
        <v>1</v>
      </c>
    </row>
    <row r="158" spans="2:4">
      <c r="B158" s="485" t="s">
        <v>786</v>
      </c>
      <c r="C158" s="486">
        <v>2</v>
      </c>
    </row>
    <row r="159" spans="2:4">
      <c r="B159" s="485" t="s">
        <v>787</v>
      </c>
      <c r="C159" s="486">
        <v>1</v>
      </c>
    </row>
    <row r="160" spans="2:4">
      <c r="B160" s="485" t="s">
        <v>788</v>
      </c>
      <c r="C160" s="486">
        <v>1</v>
      </c>
    </row>
    <row r="161" spans="2:3">
      <c r="B161" s="485" t="s">
        <v>789</v>
      </c>
      <c r="C161" s="486">
        <v>1</v>
      </c>
    </row>
    <row r="162" spans="2:3">
      <c r="B162" s="485" t="s">
        <v>790</v>
      </c>
      <c r="C162" s="486">
        <v>1</v>
      </c>
    </row>
    <row r="163" spans="2:3">
      <c r="B163" s="485" t="s">
        <v>791</v>
      </c>
      <c r="C163" s="486">
        <v>1</v>
      </c>
    </row>
    <row r="164" spans="2:3">
      <c r="B164" s="485" t="s">
        <v>792</v>
      </c>
      <c r="C164" s="486">
        <v>1</v>
      </c>
    </row>
    <row r="165" spans="2:3">
      <c r="B165" s="485" t="s">
        <v>793</v>
      </c>
      <c r="C165" s="486">
        <v>1</v>
      </c>
    </row>
    <row r="169" spans="2:3">
      <c r="B169" s="256" t="s">
        <v>848</v>
      </c>
    </row>
    <row r="170" spans="2:3">
      <c r="B170">
        <v>8</v>
      </c>
    </row>
    <row r="171" spans="2:3">
      <c r="B171">
        <v>10</v>
      </c>
    </row>
  </sheetData>
  <mergeCells count="4">
    <mergeCell ref="C20:I20"/>
    <mergeCell ref="K20:Q20"/>
    <mergeCell ref="W20:AC20"/>
    <mergeCell ref="AE20:AK20"/>
  </mergeCells>
  <dataValidations count="1">
    <dataValidation type="list" allowBlank="1" showInputMessage="1" showErrorMessage="1" promptTitle="Select No. of Cells per ASIC" sqref="C17:I17" xr:uid="{00000000-0002-0000-0D00-000000000000}">
      <formula1>$B$170:$B$171</formula1>
    </dataValidation>
  </dataValidations>
  <pageMargins left="0.7" right="0.7" top="0.75" bottom="0.75" header="0.3" footer="0.3"/>
  <pageSetup orientation="portrait" verticalDpi="0" r:id="rId1"/>
  <ignoredErrors>
    <ignoredError sqref="AE51:AK51 AE60:AK60 AE67:AK6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indexed="33"/>
    <pageSetUpPr fitToPage="1"/>
  </sheetPr>
  <dimension ref="A1"/>
  <sheetViews>
    <sheetView workbookViewId="0"/>
  </sheetViews>
  <sheetFormatPr baseColWidth="10" defaultColWidth="8.83203125" defaultRowHeight="13"/>
  <sheetData/>
  <phoneticPr fontId="7" type="noConversion"/>
  <printOptions horizontalCentered="1"/>
  <pageMargins left="0.5" right="0.5" top="0.5" bottom="0.5" header="0.5" footer="0.5"/>
  <pageSetup scale="94" orientation="landscape" verticalDpi="300" r:id="rId1"/>
  <headerFooter alignWithMargins="0">
    <oddFooter>&amp;C&amp;P&amp;R&amp;F, &amp;D</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indexed="29"/>
    <pageSetUpPr fitToPage="1"/>
  </sheetPr>
  <dimension ref="A144"/>
  <sheetViews>
    <sheetView workbookViewId="0"/>
  </sheetViews>
  <sheetFormatPr baseColWidth="10" defaultColWidth="8.83203125" defaultRowHeight="13"/>
  <sheetData>
    <row r="144" ht="12" customHeight="1"/>
  </sheetData>
  <phoneticPr fontId="7" type="noConversion"/>
  <printOptions horizontalCentered="1"/>
  <pageMargins left="0.25" right="0.25" top="0.75" bottom="0.75" header="0.3" footer="0.3"/>
  <pageSetup scale="88" fitToHeight="0" orientation="landscape" verticalDpi="300" r:id="rId1"/>
  <headerFooter scaleWithDoc="0">
    <oddFooter>&amp;C&amp;P&amp;R&amp;F, &amp;D</oddFooter>
  </headerFooter>
  <rowBreaks count="2" manualBreakCount="2">
    <brk id="39" max="16383" man="1"/>
    <brk id="85" max="16"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FF7C80"/>
  </sheetPr>
  <dimension ref="A1"/>
  <sheetViews>
    <sheetView workbookViewId="0"/>
  </sheetViews>
  <sheetFormatPr baseColWidth="10" defaultColWidth="8.83203125" defaultRowHeight="13"/>
  <sheetData/>
  <pageMargins left="0.7" right="0.7" top="0.75" bottom="0.75" header="0.3" footer="0.3"/>
  <pageSetup scale="55" fitToHeight="2" orientation="landscape" r:id="rId1"/>
  <rowBreaks count="1" manualBreakCount="1">
    <brk id="45" max="23"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indexed="29"/>
    <pageSetUpPr fitToPage="1"/>
  </sheetPr>
  <dimension ref="A1:P80"/>
  <sheetViews>
    <sheetView workbookViewId="0">
      <selection sqref="A1:P1"/>
    </sheetView>
  </sheetViews>
  <sheetFormatPr baseColWidth="10" defaultColWidth="8.83203125" defaultRowHeight="13"/>
  <sheetData>
    <row r="1" spans="1:16" ht="28">
      <c r="A1" s="1335" t="s">
        <v>392</v>
      </c>
      <c r="B1" s="1335"/>
      <c r="C1" s="1335"/>
      <c r="D1" s="1335"/>
      <c r="E1" s="1335"/>
      <c r="F1" s="1335"/>
      <c r="G1" s="1335"/>
      <c r="H1" s="1335"/>
      <c r="I1" s="1335"/>
      <c r="J1" s="1335"/>
      <c r="K1" s="1335"/>
      <c r="L1" s="1335"/>
      <c r="M1" s="1335"/>
      <c r="N1" s="1335"/>
      <c r="O1" s="1335"/>
      <c r="P1" s="1335"/>
    </row>
    <row r="2" spans="1:16" ht="23">
      <c r="A2" s="152"/>
    </row>
    <row r="77" spans="1:16" ht="28">
      <c r="A77" s="1335" t="s">
        <v>393</v>
      </c>
      <c r="B77" s="1335"/>
      <c r="C77" s="1335"/>
      <c r="D77" s="1335"/>
      <c r="E77" s="1335"/>
      <c r="F77" s="1335"/>
      <c r="G77" s="1335"/>
      <c r="H77" s="1335"/>
      <c r="I77" s="1335"/>
      <c r="J77" s="1335"/>
      <c r="K77" s="1335"/>
      <c r="L77" s="1335"/>
      <c r="M77" s="1335"/>
      <c r="N77" s="1335"/>
      <c r="O77" s="1335"/>
      <c r="P77" s="1335"/>
    </row>
    <row r="78" spans="1:16" s="161" customFormat="1">
      <c r="A78" s="177"/>
      <c r="B78" s="177"/>
      <c r="C78" s="177"/>
      <c r="D78" s="177"/>
      <c r="E78" s="177"/>
      <c r="F78" s="177"/>
      <c r="G78" s="177"/>
      <c r="H78" s="177"/>
      <c r="I78" s="177"/>
      <c r="J78" s="177"/>
      <c r="K78" s="177"/>
      <c r="L78" s="177"/>
      <c r="M78" s="177"/>
      <c r="N78" s="177"/>
      <c r="O78" s="177"/>
      <c r="P78" s="177"/>
    </row>
    <row r="79" spans="1:16" s="161" customFormat="1">
      <c r="A79" s="177"/>
      <c r="B79" s="177"/>
      <c r="C79" s="177"/>
      <c r="D79" s="177"/>
      <c r="E79" s="177"/>
      <c r="F79" s="177"/>
      <c r="G79" s="177"/>
      <c r="H79" s="177"/>
      <c r="I79" s="177"/>
      <c r="J79" s="177"/>
      <c r="K79" s="177"/>
      <c r="L79" s="177"/>
      <c r="M79" s="177"/>
      <c r="N79" s="177"/>
      <c r="O79" s="177"/>
      <c r="P79" s="177"/>
    </row>
    <row r="80" spans="1:16" s="161" customFormat="1">
      <c r="A80" s="177"/>
      <c r="B80" s="177"/>
      <c r="C80" s="177"/>
      <c r="D80" s="177"/>
      <c r="E80" s="177"/>
      <c r="F80" s="177"/>
      <c r="G80" s="177"/>
      <c r="H80" s="177"/>
      <c r="I80" s="177"/>
      <c r="J80" s="177"/>
      <c r="K80" s="177"/>
      <c r="L80" s="177"/>
      <c r="M80" s="177"/>
      <c r="N80" s="177"/>
      <c r="O80" s="177"/>
      <c r="P80" s="177"/>
    </row>
  </sheetData>
  <mergeCells count="2">
    <mergeCell ref="A1:P1"/>
    <mergeCell ref="A77:P77"/>
  </mergeCells>
  <phoneticPr fontId="7" type="noConversion"/>
  <printOptions horizontalCentered="1"/>
  <pageMargins left="0.5" right="0.5" top="0.75" bottom="0.5" header="0.3" footer="0.3"/>
  <pageSetup scale="66" fitToHeight="0" orientation="portrait" r:id="rId1"/>
  <headerFooter alignWithMargins="0">
    <oddFooter>&amp;C&amp;P&amp;R&amp;F, &amp;D</oddFooter>
  </headerFooter>
  <rowBreaks count="1" manualBreakCount="1">
    <brk id="75" max="15" man="1"/>
  </rowBreaks>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1:AU499"/>
  <sheetViews>
    <sheetView zoomScale="55" zoomScaleNormal="55" workbookViewId="0">
      <selection activeCell="C35" sqref="C35"/>
    </sheetView>
  </sheetViews>
  <sheetFormatPr baseColWidth="10" defaultColWidth="8.83203125" defaultRowHeight="16"/>
  <cols>
    <col min="1" max="1" width="14" customWidth="1"/>
    <col min="2" max="2" width="74.5" customWidth="1"/>
    <col min="3" max="3" width="16.6640625" style="14" customWidth="1"/>
    <col min="4" max="9" width="16.6640625" customWidth="1"/>
    <col min="11" max="11" width="16.6640625" customWidth="1"/>
    <col min="12" max="12" width="19.6640625" customWidth="1"/>
    <col min="13" max="13" width="22.5" customWidth="1"/>
    <col min="14" max="14" width="25.1640625" customWidth="1"/>
    <col min="15" max="15" width="32.6640625" customWidth="1"/>
    <col min="16" max="16" width="15" customWidth="1"/>
    <col min="19" max="19" width="17" customWidth="1"/>
    <col min="20" max="20" width="19.33203125" customWidth="1"/>
  </cols>
  <sheetData>
    <row r="1" spans="1:35">
      <c r="A1" s="14"/>
      <c r="C1" s="14" t="s">
        <v>731</v>
      </c>
      <c r="D1" s="256" t="s">
        <v>730</v>
      </c>
      <c r="F1" s="1336" t="s">
        <v>1019</v>
      </c>
      <c r="G1" s="1336"/>
      <c r="H1" s="1336"/>
      <c r="I1" s="1336"/>
      <c r="J1" s="1336"/>
      <c r="K1" s="1336"/>
      <c r="L1" s="1336"/>
      <c r="M1" s="1336"/>
      <c r="N1" s="1336"/>
      <c r="O1" s="1336"/>
    </row>
    <row r="2" spans="1:35">
      <c r="C2" s="14" t="s">
        <v>728</v>
      </c>
      <c r="D2" s="14" t="s">
        <v>728</v>
      </c>
      <c r="F2" s="1336"/>
      <c r="G2" s="1336"/>
      <c r="H2" s="1336"/>
      <c r="I2" s="1336"/>
      <c r="J2" s="1336"/>
      <c r="K2" s="1336"/>
      <c r="L2" s="1336"/>
      <c r="M2" s="1336"/>
      <c r="N2" s="1336"/>
      <c r="O2" s="1336"/>
    </row>
    <row r="3" spans="1:35" ht="17" thickBot="1">
      <c r="C3" s="14" t="s">
        <v>729</v>
      </c>
      <c r="D3" s="14" t="s">
        <v>482</v>
      </c>
      <c r="F3" s="1336"/>
      <c r="G3" s="1336"/>
      <c r="H3" s="1336"/>
      <c r="I3" s="1336"/>
      <c r="J3" s="1336"/>
      <c r="K3" s="1336"/>
      <c r="L3" s="1336"/>
      <c r="M3" s="1336"/>
      <c r="N3" s="1336"/>
      <c r="O3" s="1336"/>
    </row>
    <row r="4" spans="1:35" ht="30" thickBot="1">
      <c r="A4" s="574" t="s">
        <v>908</v>
      </c>
      <c r="B4" s="583">
        <f t="array" ref="B4">MAX(IF(ISNUMBER(Chem!1:1),Chem!1:1, 0))</f>
        <v>9</v>
      </c>
      <c r="C4" s="14" t="s">
        <v>354</v>
      </c>
      <c r="D4" s="14" t="s">
        <v>732</v>
      </c>
    </row>
    <row r="5" spans="1:35" ht="17" thickBot="1">
      <c r="A5" s="576" t="s">
        <v>909</v>
      </c>
      <c r="B5" s="577"/>
      <c r="C5" s="14" t="s">
        <v>333</v>
      </c>
      <c r="D5" s="14" t="s">
        <v>733</v>
      </c>
      <c r="N5" s="853"/>
    </row>
    <row r="6" spans="1:35">
      <c r="A6" s="580">
        <v>1</v>
      </c>
      <c r="B6" s="580" t="str">
        <f>IFERROR(INDEX(Chem!$1:$1, MATCH(A6, Chem!$1:$1, 0) - 2), "")</f>
        <v>NCA-G</v>
      </c>
      <c r="C6" s="14" t="s">
        <v>622</v>
      </c>
      <c r="N6" s="853"/>
    </row>
    <row r="7" spans="1:35">
      <c r="A7" s="581">
        <f t="shared" ref="A7:A38" si="0">IF(OR(A6 = "", $B$4 = A6), "", A6 + 1)</f>
        <v>2</v>
      </c>
      <c r="B7" s="580" t="str">
        <f>IFERROR(INDEX(Chem!$1:$1, MATCH(A7, Chem!$1:$1, 0) - 2), "")</f>
        <v>NMC622-G</v>
      </c>
      <c r="N7" s="853"/>
    </row>
    <row r="8" spans="1:35">
      <c r="A8" s="581">
        <f t="shared" si="0"/>
        <v>3</v>
      </c>
      <c r="B8" s="580" t="str">
        <f>IFERROR(INDEX(Chem!$1:$1, MATCH(A8, Chem!$1:$1, 0) - 2), "")</f>
        <v>NMC333-G</v>
      </c>
      <c r="N8" s="853"/>
    </row>
    <row r="9" spans="1:35" ht="13">
      <c r="A9" s="581">
        <f t="shared" si="0"/>
        <v>4</v>
      </c>
      <c r="B9" s="580" t="str">
        <f>IFERROR(INDEX(Chem!$1:$1, MATCH(A9, Chem!$1:$1, 0) - 2), "")</f>
        <v>LFP-G</v>
      </c>
      <c r="C9" s="256" t="s">
        <v>738</v>
      </c>
    </row>
    <row r="10" spans="1:35">
      <c r="A10" s="581">
        <f t="shared" si="0"/>
        <v>5</v>
      </c>
      <c r="B10" s="580" t="str">
        <f>IFERROR(INDEX(Chem!$1:$1, MATCH(A10, Chem!$1:$1, 0) - 2), "")</f>
        <v>LMO-G</v>
      </c>
      <c r="C10" s="14" t="s">
        <v>728</v>
      </c>
    </row>
    <row r="11" spans="1:35">
      <c r="A11" s="581">
        <f t="shared" si="0"/>
        <v>6</v>
      </c>
      <c r="B11" s="580" t="str">
        <f>IFERROR(INDEX(Chem!$1:$1, MATCH(A11, Chem!$1:$1, 0) - 2), "")</f>
        <v>NMC532/50%/LMO  - G</v>
      </c>
      <c r="C11" s="14" t="s">
        <v>739</v>
      </c>
    </row>
    <row r="12" spans="1:35">
      <c r="A12" s="581">
        <f t="shared" si="0"/>
        <v>7</v>
      </c>
      <c r="B12" s="580" t="str">
        <f>IFERROR(INDEX(Chem!$1:$1, MATCH(A12, Chem!$1:$1, 0) - 2), "")</f>
        <v>NMC811-G</v>
      </c>
      <c r="C12" s="14" t="s">
        <v>740</v>
      </c>
    </row>
    <row r="13" spans="1:35">
      <c r="A13" s="581">
        <f t="shared" si="0"/>
        <v>8</v>
      </c>
      <c r="B13" s="580" t="str">
        <f>IFERROR(INDEX(Chem!$1:$1, MATCH(A13, Chem!$1:$1, 0) - 2), "")</f>
        <v>NMC532-G</v>
      </c>
    </row>
    <row r="14" spans="1:35">
      <c r="A14" s="582">
        <f t="shared" si="0"/>
        <v>9</v>
      </c>
      <c r="B14" s="580" t="str">
        <f>IFERROR(INDEX(Chem!$1:$1, MATCH(A14, Chem!$1:$1, 0) - 2), "")</f>
        <v>LMO-LTO</v>
      </c>
    </row>
    <row r="15" spans="1:35" ht="17" thickBot="1">
      <c r="A15" s="582" t="str">
        <f t="shared" si="0"/>
        <v/>
      </c>
      <c r="B15" s="580" t="str">
        <f>IFERROR(INDEX(Chem!$1:$1, MATCH(A15, Chem!$1:$1, 0) - 2), "")</f>
        <v/>
      </c>
    </row>
    <row r="16" spans="1:35" ht="17" thickBot="1">
      <c r="A16" s="582" t="str">
        <f t="shared" si="0"/>
        <v/>
      </c>
      <c r="B16" s="580" t="str">
        <f>IFERROR(INDEX(Chem!$1:$1, MATCH(A16, Chem!$1:$1, 0) - 2), "")</f>
        <v/>
      </c>
      <c r="F16" s="1340" t="s">
        <v>852</v>
      </c>
      <c r="G16" s="1331"/>
      <c r="H16" s="1331"/>
      <c r="I16" s="1341"/>
      <c r="K16" s="1342" t="s">
        <v>910</v>
      </c>
      <c r="L16" s="1343"/>
      <c r="M16" s="1343"/>
      <c r="N16" s="1343"/>
      <c r="O16" s="637"/>
      <c r="P16" s="610"/>
      <c r="Q16" s="611"/>
      <c r="R16" s="612"/>
      <c r="S16" s="612"/>
      <c r="T16" s="612"/>
      <c r="U16" s="612"/>
      <c r="V16" s="612"/>
      <c r="W16" s="612"/>
      <c r="X16" s="612"/>
      <c r="Y16" s="612"/>
      <c r="Z16" s="613"/>
      <c r="AA16" s="612"/>
      <c r="AB16" s="613"/>
      <c r="AC16" s="613"/>
      <c r="AD16" s="613"/>
      <c r="AE16" s="613"/>
      <c r="AF16" s="613"/>
      <c r="AG16" s="613"/>
      <c r="AH16" s="613"/>
      <c r="AI16" s="614"/>
    </row>
    <row r="17" spans="1:35" ht="18" thickBot="1">
      <c r="A17" s="582" t="str">
        <f t="shared" si="0"/>
        <v/>
      </c>
      <c r="B17" s="580" t="str">
        <f>IFERROR(INDEX(Chem!$1:$1, MATCH(A17, Chem!$1:$1, 0) - 2), "")</f>
        <v/>
      </c>
      <c r="F17" s="598" t="s">
        <v>853</v>
      </c>
      <c r="G17" s="599" t="s">
        <v>854</v>
      </c>
      <c r="H17" s="599" t="s">
        <v>855</v>
      </c>
      <c r="I17" s="600" t="s">
        <v>856</v>
      </c>
      <c r="K17" s="1350" t="s">
        <v>159</v>
      </c>
      <c r="L17" s="1348" t="s">
        <v>911</v>
      </c>
      <c r="M17" s="1344" t="s">
        <v>930</v>
      </c>
      <c r="N17" s="1346" t="s">
        <v>931</v>
      </c>
      <c r="O17" s="638" t="s">
        <v>941</v>
      </c>
      <c r="P17" s="623" t="s">
        <v>912</v>
      </c>
      <c r="Q17" s="601" t="s">
        <v>890</v>
      </c>
      <c r="R17" s="602" t="s">
        <v>891</v>
      </c>
      <c r="S17" s="602" t="s">
        <v>892</v>
      </c>
      <c r="T17" s="602" t="s">
        <v>893</v>
      </c>
      <c r="U17" s="602" t="s">
        <v>894</v>
      </c>
      <c r="V17" s="602" t="s">
        <v>895</v>
      </c>
      <c r="W17" s="602" t="s">
        <v>896</v>
      </c>
      <c r="X17" s="602" t="s">
        <v>897</v>
      </c>
      <c r="Y17" s="602" t="s">
        <v>898</v>
      </c>
      <c r="Z17" s="602" t="s">
        <v>899</v>
      </c>
      <c r="AA17" s="602" t="s">
        <v>900</v>
      </c>
      <c r="AB17" s="587"/>
      <c r="AC17" s="587"/>
      <c r="AD17" s="587"/>
      <c r="AE17" s="587"/>
      <c r="AF17" s="587"/>
      <c r="AG17" s="587"/>
      <c r="AH17" s="587"/>
      <c r="AI17" s="588"/>
    </row>
    <row r="18" spans="1:35" ht="17" thickBot="1">
      <c r="A18" s="582" t="str">
        <f t="shared" si="0"/>
        <v/>
      </c>
      <c r="B18" s="580" t="str">
        <f>IFERROR(INDEX(Chem!$1:$1, MATCH(A18, Chem!$1:$1, 0) - 2), "")</f>
        <v/>
      </c>
      <c r="F18" s="586" t="s">
        <v>857</v>
      </c>
      <c r="G18" s="586" t="s">
        <v>858</v>
      </c>
      <c r="H18" s="586">
        <f>1.380649*10^-23</f>
        <v>1.3806490000000001E-23</v>
      </c>
      <c r="I18" s="586" t="s">
        <v>859</v>
      </c>
      <c r="K18" s="1351"/>
      <c r="L18" s="1349"/>
      <c r="M18" s="1345"/>
      <c r="N18" s="1347"/>
      <c r="O18" s="639"/>
      <c r="P18" s="624" t="s">
        <v>913</v>
      </c>
      <c r="Q18" s="618">
        <v>6.94</v>
      </c>
      <c r="R18" s="619">
        <v>58.71</v>
      </c>
      <c r="S18" s="619">
        <v>54.94</v>
      </c>
      <c r="T18" s="619">
        <v>58.93</v>
      </c>
      <c r="U18" s="619">
        <v>26.98</v>
      </c>
      <c r="V18" s="619">
        <v>55.85</v>
      </c>
      <c r="W18" s="619">
        <v>30.97</v>
      </c>
      <c r="X18" s="619">
        <v>47.9</v>
      </c>
      <c r="Y18" s="619">
        <v>16</v>
      </c>
      <c r="Z18" s="620"/>
      <c r="AA18" s="619">
        <v>12</v>
      </c>
      <c r="AB18" s="621"/>
      <c r="AC18" s="621"/>
      <c r="AD18" s="621"/>
      <c r="AE18" s="621"/>
      <c r="AF18" s="621"/>
      <c r="AG18" s="621"/>
      <c r="AH18" s="621"/>
      <c r="AI18" s="622"/>
    </row>
    <row r="19" spans="1:35">
      <c r="A19" s="582" t="str">
        <f t="shared" si="0"/>
        <v/>
      </c>
      <c r="B19" s="580" t="str">
        <f>IFERROR(INDEX(Chem!$1:$1, MATCH(A19, Chem!$1:$1, 0) - 2), "")</f>
        <v/>
      </c>
      <c r="F19" s="586" t="s">
        <v>860</v>
      </c>
      <c r="G19" s="586" t="s">
        <v>861</v>
      </c>
      <c r="H19" s="584">
        <f>6.02214*10^23</f>
        <v>6.0221399999999997E+23</v>
      </c>
      <c r="I19" s="586" t="s">
        <v>862</v>
      </c>
      <c r="K19" s="595" t="s">
        <v>851</v>
      </c>
      <c r="L19" s="596">
        <f t="array" ref="L19">SUM($Q$18:$AT$18*Q19:AT19)</f>
        <v>93.882683</v>
      </c>
      <c r="M19" s="606">
        <v>155</v>
      </c>
      <c r="N19" s="607">
        <f>Q19/3600*1000*96485/L19</f>
        <v>299.75132190601471</v>
      </c>
      <c r="O19" s="607" t="s">
        <v>943</v>
      </c>
      <c r="P19" s="597"/>
      <c r="Q19" s="615">
        <v>1.05</v>
      </c>
      <c r="R19" s="615">
        <f>0.333*(2-Q19)</f>
        <v>0.31635000000000002</v>
      </c>
      <c r="S19" s="615">
        <f>0.333*(2-Q19)</f>
        <v>0.31635000000000002</v>
      </c>
      <c r="T19" s="615">
        <f>0.333*(2-Q19)</f>
        <v>0.31635000000000002</v>
      </c>
      <c r="U19" s="615"/>
      <c r="V19" s="615"/>
      <c r="W19" s="615"/>
      <c r="X19" s="615"/>
      <c r="Y19" s="615">
        <v>2</v>
      </c>
      <c r="Z19" s="616"/>
      <c r="AA19" s="616"/>
      <c r="AB19" s="616"/>
      <c r="AC19" s="616"/>
      <c r="AD19" s="616"/>
      <c r="AE19" s="616"/>
      <c r="AF19" s="616"/>
      <c r="AG19" s="616"/>
      <c r="AH19" s="616"/>
      <c r="AI19" s="617"/>
    </row>
    <row r="20" spans="1:35">
      <c r="A20" s="582" t="str">
        <f t="shared" si="0"/>
        <v/>
      </c>
      <c r="B20" s="580" t="str">
        <f>IFERROR(INDEX(Chem!$1:$1, MATCH(A20, Chem!$1:$1, 0) - 2), "")</f>
        <v/>
      </c>
      <c r="F20" s="586" t="s">
        <v>863</v>
      </c>
      <c r="G20" s="586" t="s">
        <v>864</v>
      </c>
      <c r="H20" s="584">
        <v>8.3140000000000001</v>
      </c>
      <c r="I20" s="586" t="s">
        <v>865</v>
      </c>
      <c r="K20" s="591" t="s">
        <v>850</v>
      </c>
      <c r="L20" s="596">
        <f t="array" ref="L20">SUM($Q$18:$AT$18*Q20:AT20)</f>
        <v>94.387</v>
      </c>
      <c r="M20" s="608">
        <v>180</v>
      </c>
      <c r="N20" s="607">
        <f t="shared" ref="N20:N26" si="1">Q20/3600*1000*96485/L20</f>
        <v>298.1497275401627</v>
      </c>
      <c r="O20" s="607" t="s">
        <v>944</v>
      </c>
      <c r="P20" s="586"/>
      <c r="Q20" s="584">
        <v>1.05</v>
      </c>
      <c r="R20" s="584">
        <f>0.6*(2-Q20)</f>
        <v>0.56999999999999995</v>
      </c>
      <c r="S20" s="584">
        <f>0.2*(2-Q20)</f>
        <v>0.19</v>
      </c>
      <c r="T20" s="584">
        <f>0.2*(2-Q20)</f>
        <v>0.19</v>
      </c>
      <c r="U20" s="584"/>
      <c r="V20" s="584"/>
      <c r="W20" s="584"/>
      <c r="X20" s="584"/>
      <c r="Y20" s="584">
        <v>2</v>
      </c>
      <c r="Z20" s="584"/>
      <c r="AA20" s="584"/>
      <c r="AB20" s="584"/>
      <c r="AC20" s="584"/>
      <c r="AD20" s="584"/>
      <c r="AE20" s="584"/>
      <c r="AF20" s="584"/>
      <c r="AG20" s="584"/>
      <c r="AH20" s="584"/>
      <c r="AI20" s="590"/>
    </row>
    <row r="21" spans="1:35">
      <c r="A21" s="582" t="str">
        <f t="shared" si="0"/>
        <v/>
      </c>
      <c r="B21" s="580" t="str">
        <f>IFERROR(INDEX(Chem!$1:$1, MATCH(A21, Chem!$1:$1, 0) - 2), "")</f>
        <v/>
      </c>
      <c r="F21" s="586" t="s">
        <v>866</v>
      </c>
      <c r="G21" s="586" t="s">
        <v>867</v>
      </c>
      <c r="H21" s="586">
        <v>2.7</v>
      </c>
      <c r="I21" s="586" t="s">
        <v>868</v>
      </c>
      <c r="K21" s="591" t="s">
        <v>901</v>
      </c>
      <c r="L21" s="596">
        <f t="array" ref="L21">SUM($Q$18:$AT$18*Q21:AT21)</f>
        <v>94.028850000000006</v>
      </c>
      <c r="M21" s="609">
        <v>161</v>
      </c>
      <c r="N21" s="607">
        <f t="shared" si="1"/>
        <v>299.28536117726992</v>
      </c>
      <c r="O21" s="607" t="s">
        <v>949</v>
      </c>
      <c r="P21" s="584"/>
      <c r="Q21" s="584">
        <v>1.05</v>
      </c>
      <c r="R21" s="584">
        <f>0.5*(2-Q21)</f>
        <v>0.47499999999999998</v>
      </c>
      <c r="S21" s="584">
        <f>0.3*(2-Q21)</f>
        <v>0.28499999999999998</v>
      </c>
      <c r="T21" s="584">
        <f>0.2*(2-Q21)</f>
        <v>0.19</v>
      </c>
      <c r="U21" s="584"/>
      <c r="V21" s="584"/>
      <c r="W21" s="584"/>
      <c r="X21" s="584"/>
      <c r="Y21" s="585">
        <v>2</v>
      </c>
      <c r="Z21" s="584"/>
      <c r="AA21" s="584"/>
      <c r="AB21" s="584"/>
      <c r="AC21" s="584"/>
      <c r="AD21" s="584"/>
      <c r="AE21" s="584"/>
      <c r="AF21" s="584"/>
      <c r="AG21" s="584"/>
      <c r="AH21" s="584"/>
      <c r="AI21" s="590"/>
    </row>
    <row r="22" spans="1:35">
      <c r="A22" s="582" t="str">
        <f t="shared" si="0"/>
        <v/>
      </c>
      <c r="B22" s="580" t="str">
        <f>IFERROR(INDEX(Chem!$1:$1, MATCH(A22, Chem!$1:$1, 0) - 2), "")</f>
        <v/>
      </c>
      <c r="F22" s="586" t="s">
        <v>869</v>
      </c>
      <c r="G22" s="586" t="s">
        <v>870</v>
      </c>
      <c r="H22" s="584">
        <v>8.9600000000000009</v>
      </c>
      <c r="I22" s="586" t="s">
        <v>868</v>
      </c>
      <c r="K22" s="591" t="s">
        <v>902</v>
      </c>
      <c r="L22" s="596">
        <f t="array" ref="L22">SUM($Q$18:$AT$18*Q22:AT22)</f>
        <v>94.724249999999998</v>
      </c>
      <c r="M22" s="609">
        <v>212</v>
      </c>
      <c r="N22" s="607">
        <f t="shared" si="1"/>
        <v>297.08821482707265</v>
      </c>
      <c r="O22" s="607" t="s">
        <v>950</v>
      </c>
      <c r="P22" s="584"/>
      <c r="Q22" s="584">
        <v>1.05</v>
      </c>
      <c r="R22" s="584">
        <f>0.8*(2-Q22)</f>
        <v>0.76</v>
      </c>
      <c r="S22" s="584">
        <f>0.1*(2-Q22)</f>
        <v>9.5000000000000001E-2</v>
      </c>
      <c r="T22" s="584">
        <f>0.1*(2-Q22)</f>
        <v>9.5000000000000001E-2</v>
      </c>
      <c r="U22" s="584"/>
      <c r="V22" s="584"/>
      <c r="W22" s="584"/>
      <c r="X22" s="584"/>
      <c r="Y22" s="585">
        <v>2</v>
      </c>
      <c r="Z22" s="584"/>
      <c r="AA22" s="584"/>
      <c r="AB22" s="584"/>
      <c r="AC22" s="584"/>
      <c r="AD22" s="584"/>
      <c r="AE22" s="584"/>
      <c r="AF22" s="584"/>
      <c r="AG22" s="584"/>
      <c r="AH22" s="584"/>
      <c r="AI22" s="590"/>
    </row>
    <row r="23" spans="1:35">
      <c r="A23" s="582" t="str">
        <f t="shared" si="0"/>
        <v/>
      </c>
      <c r="B23" s="580" t="str">
        <f>IFERROR(INDEX(Chem!$1:$1, MATCH(A23, Chem!$1:$1, 0) - 2), "")</f>
        <v/>
      </c>
      <c r="F23" s="586" t="s">
        <v>871</v>
      </c>
      <c r="G23" s="586" t="s">
        <v>872</v>
      </c>
      <c r="H23" s="586">
        <v>0.9</v>
      </c>
      <c r="I23" s="586" t="s">
        <v>868</v>
      </c>
      <c r="K23" s="591" t="s">
        <v>903</v>
      </c>
      <c r="L23" s="596">
        <f t="array" ref="L23">SUM($Q$18:$AT$18*Q23:AT23)</f>
        <v>96.096500000000006</v>
      </c>
      <c r="M23" s="609">
        <v>200</v>
      </c>
      <c r="N23" s="607">
        <f t="shared" si="1"/>
        <v>278.90078087015542</v>
      </c>
      <c r="O23" s="607" t="s">
        <v>942</v>
      </c>
      <c r="P23" s="584"/>
      <c r="Q23" s="584">
        <v>1</v>
      </c>
      <c r="R23" s="584">
        <v>0.8</v>
      </c>
      <c r="S23" s="584"/>
      <c r="T23" s="584">
        <v>0.15</v>
      </c>
      <c r="U23" s="584">
        <v>0.05</v>
      </c>
      <c r="V23" s="584"/>
      <c r="W23" s="584"/>
      <c r="X23" s="584"/>
      <c r="Y23" s="585">
        <v>2</v>
      </c>
      <c r="Z23" s="584"/>
      <c r="AA23" s="584"/>
      <c r="AB23" s="584"/>
      <c r="AC23" s="584"/>
      <c r="AD23" s="584"/>
      <c r="AE23" s="584"/>
      <c r="AF23" s="584"/>
      <c r="AG23" s="584"/>
      <c r="AH23" s="584"/>
      <c r="AI23" s="590"/>
    </row>
    <row r="24" spans="1:35">
      <c r="A24" s="582" t="str">
        <f t="shared" si="0"/>
        <v/>
      </c>
      <c r="B24" s="580" t="str">
        <f>IFERROR(INDEX(Chem!$1:$1, MATCH(A24, Chem!$1:$1, 0) - 2), "")</f>
        <v/>
      </c>
      <c r="F24" s="586" t="s">
        <v>873</v>
      </c>
      <c r="G24" s="586" t="s">
        <v>874</v>
      </c>
      <c r="H24" s="586">
        <v>1.38</v>
      </c>
      <c r="I24" s="586" t="s">
        <v>868</v>
      </c>
      <c r="K24" s="591" t="s">
        <v>904</v>
      </c>
      <c r="L24" s="596">
        <f t="array" ref="L24">SUM($Q$18:$AT$18*Q24:AT24)</f>
        <v>157.76</v>
      </c>
      <c r="M24" s="609">
        <v>150</v>
      </c>
      <c r="N24" s="607">
        <f t="shared" si="1"/>
        <v>169.88709995492451</v>
      </c>
      <c r="O24" s="607" t="s">
        <v>945</v>
      </c>
      <c r="P24" s="584"/>
      <c r="Q24" s="584">
        <v>1</v>
      </c>
      <c r="R24" s="584"/>
      <c r="S24" s="584"/>
      <c r="T24" s="584"/>
      <c r="U24" s="584"/>
      <c r="V24" s="584">
        <v>1</v>
      </c>
      <c r="W24" s="584">
        <v>1</v>
      </c>
      <c r="X24" s="584"/>
      <c r="Y24" s="585">
        <v>4</v>
      </c>
      <c r="Z24" s="584"/>
      <c r="AA24" s="584"/>
      <c r="AB24" s="584"/>
      <c r="AC24" s="584"/>
      <c r="AD24" s="584"/>
      <c r="AE24" s="584"/>
      <c r="AF24" s="584"/>
      <c r="AG24" s="584"/>
      <c r="AH24" s="584"/>
      <c r="AI24" s="590"/>
    </row>
    <row r="25" spans="1:35">
      <c r="A25" s="582" t="str">
        <f t="shared" si="0"/>
        <v/>
      </c>
      <c r="B25" s="580" t="str">
        <f>IFERROR(INDEX(Chem!$1:$1, MATCH(A25, Chem!$1:$1, 0) - 2), "")</f>
        <v/>
      </c>
      <c r="F25" s="586" t="s">
        <v>875</v>
      </c>
      <c r="G25" s="586" t="s">
        <v>876</v>
      </c>
      <c r="H25" s="584">
        <v>0.38548000000000004</v>
      </c>
      <c r="I25" s="586" t="s">
        <v>877</v>
      </c>
      <c r="K25" s="591" t="s">
        <v>905</v>
      </c>
      <c r="L25" s="596">
        <f t="array" ref="L25">SUM($Q$18:$AT$18*Q25:AT25)</f>
        <v>176.01999999999998</v>
      </c>
      <c r="M25" s="609">
        <v>108</v>
      </c>
      <c r="N25" s="607">
        <f t="shared" si="1"/>
        <v>167.48964764105094</v>
      </c>
      <c r="O25" s="607" t="s">
        <v>984</v>
      </c>
      <c r="P25" s="584"/>
      <c r="Q25" s="584">
        <v>1.1000000000000001</v>
      </c>
      <c r="R25" s="584"/>
      <c r="S25" s="584">
        <v>1.9</v>
      </c>
      <c r="T25" s="584"/>
      <c r="U25" s="584"/>
      <c r="V25" s="584"/>
      <c r="W25" s="584"/>
      <c r="X25" s="584"/>
      <c r="Y25" s="585">
        <v>4</v>
      </c>
      <c r="Z25" s="584"/>
      <c r="AA25" s="584"/>
      <c r="AB25" s="584"/>
      <c r="AC25" s="584"/>
      <c r="AD25" s="584"/>
      <c r="AE25" s="584"/>
      <c r="AF25" s="584"/>
      <c r="AG25" s="584"/>
      <c r="AH25" s="584"/>
      <c r="AI25" s="590"/>
    </row>
    <row r="26" spans="1:35">
      <c r="A26" s="582" t="str">
        <f t="shared" si="0"/>
        <v/>
      </c>
      <c r="B26" s="580" t="str">
        <f>IFERROR(INDEX(Chem!$1:$1, MATCH(A26, Chem!$1:$1, 0) - 2), "")</f>
        <v/>
      </c>
      <c r="F26" s="586" t="s">
        <v>878</v>
      </c>
      <c r="G26" s="586" t="s">
        <v>879</v>
      </c>
      <c r="H26" s="584">
        <v>0.90200000000000002</v>
      </c>
      <c r="I26" s="586" t="s">
        <v>877</v>
      </c>
      <c r="K26" s="591" t="s">
        <v>906</v>
      </c>
      <c r="L26" s="596">
        <f t="array" ref="L26">SUM($Q$18:$AT$18*Q26:AT26)</f>
        <v>459.26</v>
      </c>
      <c r="M26" s="609">
        <v>170</v>
      </c>
      <c r="N26" s="607">
        <f t="shared" si="1"/>
        <v>233.43107511116921</v>
      </c>
      <c r="O26" s="607" t="s">
        <v>946</v>
      </c>
      <c r="P26" s="584"/>
      <c r="Q26" s="584">
        <v>4</v>
      </c>
      <c r="R26" s="584"/>
      <c r="S26" s="584"/>
      <c r="T26" s="584"/>
      <c r="U26" s="584"/>
      <c r="V26" s="584"/>
      <c r="W26" s="584"/>
      <c r="X26" s="584">
        <v>5</v>
      </c>
      <c r="Y26" s="585">
        <v>12</v>
      </c>
      <c r="Z26" s="584"/>
      <c r="AA26" s="584"/>
      <c r="AB26" s="584"/>
      <c r="AC26" s="584"/>
      <c r="AD26" s="584"/>
      <c r="AE26" s="584"/>
      <c r="AF26" s="584"/>
      <c r="AG26" s="584"/>
      <c r="AH26" s="584"/>
      <c r="AI26" s="590"/>
    </row>
    <row r="27" spans="1:35">
      <c r="A27" s="582" t="str">
        <f t="shared" si="0"/>
        <v/>
      </c>
      <c r="B27" s="580" t="str">
        <f>IFERROR(INDEX(Chem!$1:$1, MATCH(A27, Chem!$1:$1, 0) - 2), "")</f>
        <v/>
      </c>
      <c r="F27" s="586" t="s">
        <v>880</v>
      </c>
      <c r="G27" s="586" t="s">
        <v>881</v>
      </c>
      <c r="H27" s="584">
        <v>0.9</v>
      </c>
      <c r="I27" s="586" t="s">
        <v>868</v>
      </c>
      <c r="K27" s="591" t="s">
        <v>907</v>
      </c>
      <c r="L27" s="596">
        <f t="array" ref="L27">SUM($Q$18:$AT$18*Q27:AT27)</f>
        <v>72</v>
      </c>
      <c r="M27" s="609">
        <v>360</v>
      </c>
      <c r="N27" s="607">
        <f>1/3600*1000*96485/L27</f>
        <v>372.24151234567904</v>
      </c>
      <c r="O27" s="607" t="s">
        <v>947</v>
      </c>
      <c r="P27" s="584"/>
      <c r="Q27" s="584"/>
      <c r="R27" s="584"/>
      <c r="S27" s="584"/>
      <c r="T27" s="584"/>
      <c r="U27" s="584"/>
      <c r="V27" s="584"/>
      <c r="W27" s="584"/>
      <c r="X27" s="584"/>
      <c r="Y27" s="584"/>
      <c r="Z27" s="584"/>
      <c r="AA27" s="584">
        <v>6</v>
      </c>
      <c r="AB27" s="584"/>
      <c r="AC27" s="584"/>
      <c r="AD27" s="584"/>
      <c r="AE27" s="584"/>
      <c r="AF27" s="584"/>
      <c r="AG27" s="584"/>
      <c r="AH27" s="584"/>
      <c r="AI27" s="590"/>
    </row>
    <row r="28" spans="1:35">
      <c r="A28" s="582" t="str">
        <f t="shared" si="0"/>
        <v/>
      </c>
      <c r="B28" s="580" t="str">
        <f>IFERROR(INDEX(Chem!$1:$1, MATCH(A28, Chem!$1:$1, 0) - 2), "")</f>
        <v/>
      </c>
      <c r="F28" s="603" t="s">
        <v>917</v>
      </c>
      <c r="G28" s="603" t="s">
        <v>920</v>
      </c>
      <c r="H28" s="604">
        <f>5.96*10^7</f>
        <v>59600000</v>
      </c>
      <c r="I28" s="603" t="s">
        <v>918</v>
      </c>
      <c r="K28" s="589" t="s">
        <v>948</v>
      </c>
      <c r="L28" s="584"/>
      <c r="M28" s="584"/>
      <c r="N28" s="584"/>
      <c r="O28" s="584"/>
      <c r="P28" s="584"/>
      <c r="Q28" s="584"/>
      <c r="R28" s="584"/>
      <c r="S28" s="584"/>
      <c r="T28" s="584"/>
      <c r="U28" s="584"/>
      <c r="V28" s="584"/>
      <c r="W28" s="584"/>
      <c r="X28" s="584"/>
      <c r="Y28" s="584"/>
      <c r="Z28" s="584"/>
      <c r="AA28" s="584"/>
      <c r="AB28" s="584"/>
      <c r="AC28" s="584"/>
      <c r="AD28" s="584"/>
      <c r="AE28" s="584"/>
      <c r="AF28" s="584"/>
      <c r="AG28" s="584"/>
      <c r="AH28" s="584"/>
      <c r="AI28" s="590"/>
    </row>
    <row r="29" spans="1:35">
      <c r="A29" s="582" t="str">
        <f t="shared" si="0"/>
        <v/>
      </c>
      <c r="B29" s="580" t="str">
        <f>IFERROR(INDEX(Chem!$1:$1, MATCH(A29, Chem!$1:$1, 0) - 2), "")</f>
        <v/>
      </c>
      <c r="F29" s="603" t="s">
        <v>919</v>
      </c>
      <c r="G29" s="603" t="s">
        <v>921</v>
      </c>
      <c r="H29" s="604">
        <f>3.77*10^7</f>
        <v>37700000</v>
      </c>
      <c r="I29" s="603" t="s">
        <v>918</v>
      </c>
      <c r="K29" s="589"/>
      <c r="L29" s="584"/>
      <c r="M29" s="584"/>
      <c r="N29" s="584"/>
      <c r="O29" s="584"/>
      <c r="P29" s="584"/>
      <c r="Q29" s="584"/>
      <c r="R29" s="584"/>
      <c r="S29" s="584"/>
      <c r="T29" s="584"/>
      <c r="U29" s="584"/>
      <c r="V29" s="584"/>
      <c r="W29" s="584"/>
      <c r="X29" s="584"/>
      <c r="Y29" s="584"/>
      <c r="Z29" s="584"/>
      <c r="AA29" s="584"/>
      <c r="AB29" s="584"/>
      <c r="AC29" s="584"/>
      <c r="AD29" s="584"/>
      <c r="AE29" s="584"/>
      <c r="AF29" s="584"/>
      <c r="AG29" s="584"/>
      <c r="AH29" s="584"/>
      <c r="AI29" s="590"/>
    </row>
    <row r="30" spans="1:35">
      <c r="A30" s="582" t="str">
        <f t="shared" si="0"/>
        <v/>
      </c>
      <c r="B30" s="580" t="str">
        <f>IFERROR(INDEX(Chem!$1:$1, MATCH(A30, Chem!$1:$1, 0) - 2), "")</f>
        <v/>
      </c>
      <c r="F30" s="586" t="s">
        <v>922</v>
      </c>
      <c r="G30" s="603" t="s">
        <v>923</v>
      </c>
      <c r="H30" s="605">
        <v>7.8</v>
      </c>
      <c r="I30" s="586" t="s">
        <v>868</v>
      </c>
      <c r="K30" s="589"/>
      <c r="L30" s="584"/>
      <c r="M30" s="584"/>
      <c r="N30" s="584"/>
      <c r="O30" s="584"/>
      <c r="P30" s="584"/>
      <c r="Q30" s="584"/>
      <c r="R30" s="584"/>
      <c r="S30" s="584"/>
      <c r="T30" s="584"/>
      <c r="U30" s="584"/>
      <c r="V30" s="584"/>
      <c r="W30" s="584"/>
      <c r="X30" s="584"/>
      <c r="Y30" s="584"/>
      <c r="Z30" s="584"/>
      <c r="AA30" s="584"/>
      <c r="AB30" s="584"/>
      <c r="AC30" s="584"/>
      <c r="AD30" s="584"/>
      <c r="AE30" s="584"/>
      <c r="AF30" s="584"/>
      <c r="AG30" s="584"/>
      <c r="AH30" s="584"/>
      <c r="AI30" s="590"/>
    </row>
    <row r="31" spans="1:35">
      <c r="A31" s="582" t="str">
        <f t="shared" si="0"/>
        <v/>
      </c>
      <c r="B31" s="580" t="str">
        <f>IFERROR(INDEX(Chem!$1:$1, MATCH(A31, Chem!$1:$1, 0) - 2), "")</f>
        <v/>
      </c>
      <c r="F31" s="603" t="s">
        <v>924</v>
      </c>
      <c r="G31" s="603" t="s">
        <v>925</v>
      </c>
      <c r="H31" s="605">
        <v>2</v>
      </c>
      <c r="I31" s="584" t="s">
        <v>926</v>
      </c>
      <c r="K31" s="589"/>
      <c r="L31" s="584"/>
      <c r="M31" s="584"/>
      <c r="N31" s="584"/>
      <c r="O31" s="584"/>
      <c r="P31" s="584"/>
      <c r="Q31" s="584"/>
      <c r="R31" s="584"/>
      <c r="S31" s="584"/>
      <c r="T31" s="584"/>
      <c r="U31" s="584"/>
      <c r="V31" s="584"/>
      <c r="W31" s="584"/>
      <c r="X31" s="584"/>
      <c r="Y31" s="584"/>
      <c r="Z31" s="584"/>
      <c r="AA31" s="584"/>
      <c r="AB31" s="584"/>
      <c r="AC31" s="584"/>
      <c r="AD31" s="584"/>
      <c r="AE31" s="584"/>
      <c r="AF31" s="584"/>
      <c r="AG31" s="584"/>
      <c r="AH31" s="584"/>
      <c r="AI31" s="590"/>
    </row>
    <row r="32" spans="1:35">
      <c r="A32" s="582" t="str">
        <f t="shared" si="0"/>
        <v/>
      </c>
      <c r="B32" s="580" t="str">
        <f>IFERROR(INDEX(Chem!$1:$1, MATCH(A32, Chem!$1:$1, 0) - 2), "")</f>
        <v/>
      </c>
      <c r="F32" s="603" t="s">
        <v>928</v>
      </c>
      <c r="G32" s="603" t="s">
        <v>927</v>
      </c>
      <c r="H32" s="605">
        <v>3.8</v>
      </c>
      <c r="I32" s="584" t="s">
        <v>926</v>
      </c>
      <c r="K32" s="589"/>
      <c r="L32" s="584"/>
      <c r="M32" s="584"/>
      <c r="N32" s="584"/>
      <c r="O32" s="584"/>
      <c r="P32" s="584"/>
      <c r="Q32" s="584"/>
      <c r="R32" s="584"/>
      <c r="S32" s="584"/>
      <c r="T32" s="584"/>
      <c r="U32" s="584"/>
      <c r="V32" s="584"/>
      <c r="W32" s="584"/>
      <c r="X32" s="584"/>
      <c r="Y32" s="584"/>
      <c r="Z32" s="584"/>
      <c r="AA32" s="584"/>
      <c r="AB32" s="584"/>
      <c r="AC32" s="584"/>
      <c r="AD32" s="584"/>
      <c r="AE32" s="584"/>
      <c r="AF32" s="584"/>
      <c r="AG32" s="584"/>
      <c r="AH32" s="584"/>
      <c r="AI32" s="590"/>
    </row>
    <row r="33" spans="1:35" ht="17" thickBot="1">
      <c r="A33" s="582" t="str">
        <f t="shared" si="0"/>
        <v/>
      </c>
      <c r="B33" s="580" t="str">
        <f>IFERROR(INDEX(Chem!$1:$1, MATCH(A33, Chem!$1:$1, 0) - 2), "")</f>
        <v/>
      </c>
      <c r="K33" s="592"/>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4"/>
    </row>
    <row r="34" spans="1:35">
      <c r="A34" s="582" t="str">
        <f t="shared" si="0"/>
        <v/>
      </c>
      <c r="B34" s="580" t="str">
        <f>IFERROR(INDEX(Chem!$1:$1, MATCH(A34, Chem!$1:$1, 0) - 2), "")</f>
        <v/>
      </c>
      <c r="K34" s="589"/>
      <c r="L34" s="584"/>
      <c r="M34" s="584"/>
      <c r="N34" s="584"/>
      <c r="O34" s="584"/>
      <c r="P34" s="584"/>
      <c r="Q34" s="584"/>
      <c r="R34" s="584"/>
      <c r="S34" s="584"/>
      <c r="T34" s="584"/>
      <c r="U34" s="584"/>
      <c r="V34" s="584"/>
      <c r="W34" s="584"/>
      <c r="X34" s="584"/>
      <c r="Y34" s="584"/>
      <c r="Z34" s="584"/>
      <c r="AA34" s="584"/>
      <c r="AB34" s="584"/>
      <c r="AC34" s="584"/>
      <c r="AD34" s="584"/>
      <c r="AE34" s="584"/>
      <c r="AF34" s="584"/>
      <c r="AG34" s="584"/>
      <c r="AH34" s="584"/>
      <c r="AI34" s="590"/>
    </row>
    <row r="35" spans="1:35">
      <c r="A35" s="582" t="str">
        <f t="shared" si="0"/>
        <v/>
      </c>
      <c r="B35" s="580" t="str">
        <f>IFERROR(INDEX(Chem!$1:$1, MATCH(A35, Chem!$1:$1, 0) - 2), "")</f>
        <v/>
      </c>
      <c r="K35" s="589"/>
      <c r="L35" s="584"/>
      <c r="M35" s="584"/>
      <c r="N35" s="584"/>
      <c r="O35" s="584"/>
      <c r="P35" s="584"/>
      <c r="Q35" s="584"/>
      <c r="R35" s="584"/>
      <c r="S35" s="584"/>
      <c r="T35" s="584"/>
      <c r="U35" s="584"/>
      <c r="V35" s="584"/>
      <c r="W35" s="584"/>
      <c r="X35" s="584"/>
      <c r="Y35" s="584"/>
      <c r="Z35" s="584"/>
      <c r="AA35" s="584"/>
      <c r="AB35" s="584"/>
      <c r="AC35" s="584"/>
      <c r="AD35" s="584"/>
      <c r="AE35" s="584"/>
      <c r="AF35" s="584"/>
      <c r="AG35" s="584"/>
      <c r="AH35" s="584"/>
      <c r="AI35" s="590"/>
    </row>
    <row r="36" spans="1:35">
      <c r="A36" s="582" t="str">
        <f t="shared" si="0"/>
        <v/>
      </c>
      <c r="B36" s="580" t="str">
        <f>IFERROR(INDEX(Chem!$1:$1, MATCH(A36, Chem!$1:$1, 0) - 2), "")</f>
        <v/>
      </c>
      <c r="K36" s="589"/>
      <c r="L36" s="584"/>
      <c r="M36" s="584"/>
      <c r="N36" s="584"/>
      <c r="O36" s="584"/>
      <c r="P36" s="584"/>
      <c r="Q36" s="584"/>
      <c r="R36" s="584"/>
      <c r="S36" s="584"/>
      <c r="T36" s="584"/>
      <c r="U36" s="584"/>
      <c r="V36" s="584"/>
      <c r="W36" s="584"/>
      <c r="X36" s="584"/>
      <c r="Y36" s="584"/>
      <c r="Z36" s="584"/>
      <c r="AA36" s="584"/>
      <c r="AB36" s="584"/>
      <c r="AC36" s="584"/>
      <c r="AD36" s="584"/>
      <c r="AE36" s="584"/>
      <c r="AF36" s="584"/>
      <c r="AG36" s="584"/>
      <c r="AH36" s="584"/>
      <c r="AI36" s="590"/>
    </row>
    <row r="37" spans="1:35" ht="17" thickBot="1">
      <c r="A37" s="582" t="str">
        <f t="shared" si="0"/>
        <v/>
      </c>
      <c r="B37" s="580" t="str">
        <f>IFERROR(INDEX(Chem!$1:$1, MATCH(A37, Chem!$1:$1, 0) - 2), "")</f>
        <v/>
      </c>
      <c r="K37" s="592"/>
      <c r="L37" s="593"/>
      <c r="M37" s="593"/>
      <c r="N37" s="593"/>
      <c r="O37" s="593"/>
      <c r="P37" s="593"/>
      <c r="Q37" s="593"/>
      <c r="R37" s="593"/>
      <c r="S37" s="593"/>
      <c r="T37" s="593"/>
      <c r="U37" s="593"/>
      <c r="V37" s="593"/>
      <c r="W37" s="593"/>
      <c r="X37" s="593"/>
      <c r="Y37" s="593"/>
      <c r="Z37" s="593"/>
      <c r="AA37" s="593"/>
      <c r="AB37" s="593"/>
      <c r="AC37" s="593"/>
      <c r="AD37" s="593"/>
      <c r="AE37" s="593"/>
      <c r="AF37" s="593"/>
      <c r="AG37" s="593"/>
      <c r="AH37" s="593"/>
      <c r="AI37" s="594"/>
    </row>
    <row r="38" spans="1:35">
      <c r="A38" s="582" t="str">
        <f t="shared" si="0"/>
        <v/>
      </c>
      <c r="B38" s="580" t="str">
        <f>IFERROR(INDEX(Chem!$1:$1, MATCH(A38, Chem!$1:$1, 0) - 2), "")</f>
        <v/>
      </c>
    </row>
    <row r="39" spans="1:35">
      <c r="A39" s="582" t="str">
        <f t="shared" ref="A39:A58" si="2">IF(OR(A38 = "", $B$4 = A38), "", A38 + 1)</f>
        <v/>
      </c>
      <c r="B39" s="580" t="str">
        <f>IFERROR(INDEX(Chem!$1:$1, MATCH(A39, Chem!$1:$1, 0) - 2), "")</f>
        <v/>
      </c>
    </row>
    <row r="40" spans="1:35" ht="17" thickBot="1">
      <c r="A40" s="582" t="str">
        <f t="shared" si="2"/>
        <v/>
      </c>
      <c r="B40" s="580" t="str">
        <f>IFERROR(INDEX(Chem!$1:$1, MATCH(A40, Chem!$1:$1, 0) - 2), "")</f>
        <v/>
      </c>
    </row>
    <row r="41" spans="1:35">
      <c r="A41" s="582" t="str">
        <f t="shared" si="2"/>
        <v/>
      </c>
      <c r="B41" s="580" t="str">
        <f>IFERROR(INDEX(Chem!$1:$1, MATCH(A41, Chem!$1:$1, 0) - 2), "")</f>
        <v/>
      </c>
      <c r="K41" s="575" t="s">
        <v>155</v>
      </c>
      <c r="L41" s="630"/>
      <c r="M41" s="631"/>
    </row>
    <row r="42" spans="1:35">
      <c r="A42" s="582" t="str">
        <f t="shared" si="2"/>
        <v/>
      </c>
      <c r="B42" s="580" t="str">
        <f>IFERROR(INDEX(Chem!$1:$1, MATCH(A42, Chem!$1:$1, 0) - 2), "")</f>
        <v/>
      </c>
      <c r="K42" s="636" t="s">
        <v>267</v>
      </c>
      <c r="L42" s="579">
        <f>IF(Dashboard!I28 = "", INDEX(L43:L46,MATCH(Dashboard!E28,K43:K46,0)), Dashboard!I28)</f>
        <v>85</v>
      </c>
      <c r="M42" s="632"/>
    </row>
    <row r="43" spans="1:35">
      <c r="A43" s="582" t="str">
        <f t="shared" si="2"/>
        <v/>
      </c>
      <c r="B43" s="580" t="str">
        <f>IFERROR(INDEX(Chem!$1:$1, MATCH(A43, Chem!$1:$1, 0) - 2), "")</f>
        <v/>
      </c>
      <c r="K43" s="578" t="s">
        <v>354</v>
      </c>
      <c r="L43" s="579">
        <f>IF(AND(M43="",N43=""),"",IF(N43="",M43,N43))</f>
        <v>60</v>
      </c>
      <c r="M43" s="632">
        <v>60</v>
      </c>
    </row>
    <row r="44" spans="1:35">
      <c r="A44" s="582" t="str">
        <f t="shared" si="2"/>
        <v/>
      </c>
      <c r="B44" s="580" t="str">
        <f>IFERROR(INDEX(Chem!$1:$1, MATCH(A44, Chem!$1:$1, 0) - 2), "")</f>
        <v/>
      </c>
      <c r="K44" s="578" t="s">
        <v>333</v>
      </c>
      <c r="L44" s="579">
        <f>IF(AND(M44="",N44=""),"",IF(N44="",M44,N44))</f>
        <v>70</v>
      </c>
      <c r="M44" s="632">
        <v>70</v>
      </c>
    </row>
    <row r="45" spans="1:35">
      <c r="A45" s="582" t="str">
        <f t="shared" si="2"/>
        <v/>
      </c>
      <c r="B45" s="580" t="str">
        <f>IFERROR(INDEX(Chem!$1:$1, MATCH(A45, Chem!$1:$1, 0) - 2), "")</f>
        <v/>
      </c>
      <c r="K45" s="578" t="s">
        <v>622</v>
      </c>
      <c r="L45" s="579">
        <f>IF(AND(M45="",N45=""),"",IF(N45="",M45,N45))</f>
        <v>85</v>
      </c>
      <c r="M45" s="632">
        <v>85</v>
      </c>
    </row>
    <row r="46" spans="1:35" ht="17" thickBot="1">
      <c r="A46" s="582" t="str">
        <f t="shared" si="2"/>
        <v/>
      </c>
      <c r="B46" s="580" t="str">
        <f>IFERROR(INDEX(Chem!$1:$1, MATCH(A46, Chem!$1:$1, 0) - 2), "")</f>
        <v/>
      </c>
      <c r="K46" s="633" t="s">
        <v>729</v>
      </c>
      <c r="L46" s="634">
        <f>IF(AND(M46="",N46=""),"",IF(N46="",M46,N46))</f>
        <v>25</v>
      </c>
      <c r="M46" s="635">
        <v>25</v>
      </c>
    </row>
    <row r="47" spans="1:35">
      <c r="A47" s="582" t="str">
        <f t="shared" si="2"/>
        <v/>
      </c>
      <c r="B47" s="580" t="str">
        <f>IFERROR(INDEX(Chem!$1:$1, MATCH(A47, Chem!$1:$1, 0) - 2), "")</f>
        <v/>
      </c>
    </row>
    <row r="48" spans="1:35">
      <c r="A48" s="582" t="str">
        <f t="shared" si="2"/>
        <v/>
      </c>
      <c r="B48" s="580" t="str">
        <f>IFERROR(INDEX(Chem!$1:$1, MATCH(A48, Chem!$1:$1, 0) - 2), "")</f>
        <v/>
      </c>
    </row>
    <row r="49" spans="1:47">
      <c r="A49" s="582" t="str">
        <f t="shared" si="2"/>
        <v/>
      </c>
      <c r="B49" s="580" t="str">
        <f>IFERROR(INDEX(Chem!$1:$1, MATCH(A49, Chem!$1:$1, 0) - 2), "")</f>
        <v/>
      </c>
    </row>
    <row r="50" spans="1:47">
      <c r="A50" s="582" t="str">
        <f t="shared" si="2"/>
        <v/>
      </c>
      <c r="B50" s="580" t="str">
        <f>IFERROR(INDEX(Chem!$1:$1, MATCH(A50, Chem!$1:$1, 0) - 2), "")</f>
        <v/>
      </c>
    </row>
    <row r="51" spans="1:47">
      <c r="A51" s="582" t="str">
        <f t="shared" si="2"/>
        <v/>
      </c>
      <c r="B51" s="580" t="str">
        <f>IFERROR(INDEX(Chem!$1:$1, MATCH(A51, Chem!$1:$1, 0) - 2), "")</f>
        <v/>
      </c>
    </row>
    <row r="52" spans="1:47" ht="17" thickBot="1">
      <c r="A52" s="582" t="str">
        <f t="shared" si="2"/>
        <v/>
      </c>
      <c r="B52" s="580" t="str">
        <f>IFERROR(INDEX(Chem!$1:$1, MATCH(A52, Chem!$1:$1, 0) - 2), "")</f>
        <v/>
      </c>
    </row>
    <row r="53" spans="1:47">
      <c r="A53" s="582" t="str">
        <f t="shared" si="2"/>
        <v/>
      </c>
      <c r="B53" s="580" t="str">
        <f>IFERROR(INDEX(Chem!$1:$1, MATCH(A53, Chem!$1:$1, 0) - 2), "")</f>
        <v/>
      </c>
      <c r="N53" s="1352" t="s">
        <v>1023</v>
      </c>
      <c r="O53" s="1353"/>
      <c r="P53" s="1353"/>
      <c r="Q53" s="1353"/>
      <c r="R53" s="1353"/>
      <c r="S53" s="1353"/>
      <c r="T53" s="1353"/>
      <c r="U53" s="1353"/>
      <c r="V53" s="1353"/>
      <c r="W53" s="1353"/>
      <c r="X53" s="1353"/>
      <c r="Y53" s="1353"/>
      <c r="Z53" s="1353"/>
      <c r="AA53" s="1353"/>
      <c r="AB53" s="1353"/>
      <c r="AC53" s="1353"/>
      <c r="AD53" s="1353"/>
      <c r="AE53" s="1353"/>
      <c r="AF53" s="1353"/>
      <c r="AG53" s="1353"/>
      <c r="AH53" s="1353"/>
      <c r="AI53" s="1353"/>
      <c r="AJ53" s="1353"/>
      <c r="AK53" s="1353"/>
      <c r="AL53" s="1353"/>
      <c r="AM53" s="1353"/>
      <c r="AN53" s="1353"/>
      <c r="AO53" s="1353"/>
      <c r="AP53" s="1353"/>
      <c r="AQ53" s="1353"/>
      <c r="AR53" s="1353"/>
      <c r="AS53" s="1353"/>
      <c r="AT53" s="1353"/>
      <c r="AU53" s="1354"/>
    </row>
    <row r="54" spans="1:47">
      <c r="A54" s="582" t="str">
        <f t="shared" si="2"/>
        <v/>
      </c>
      <c r="B54" s="580" t="str">
        <f>IFERROR(INDEX(Chem!$1:$1, MATCH(A54, Chem!$1:$1, 0) - 2), "")</f>
        <v/>
      </c>
      <c r="N54" s="1355"/>
      <c r="O54" s="1356"/>
      <c r="P54" s="1356"/>
      <c r="Q54" s="1356"/>
      <c r="R54" s="1356"/>
      <c r="S54" s="1356"/>
      <c r="T54" s="1356"/>
      <c r="U54" s="1356"/>
      <c r="V54" s="1356"/>
      <c r="W54" s="1356"/>
      <c r="X54" s="1356"/>
      <c r="Y54" s="1356"/>
      <c r="Z54" s="1356"/>
      <c r="AA54" s="1356"/>
      <c r="AB54" s="1356"/>
      <c r="AC54" s="1356"/>
      <c r="AD54" s="1356"/>
      <c r="AE54" s="1356"/>
      <c r="AF54" s="1356"/>
      <c r="AG54" s="1356"/>
      <c r="AH54" s="1356"/>
      <c r="AI54" s="1356"/>
      <c r="AJ54" s="1356"/>
      <c r="AK54" s="1356"/>
      <c r="AL54" s="1356"/>
      <c r="AM54" s="1356"/>
      <c r="AN54" s="1356"/>
      <c r="AO54" s="1356"/>
      <c r="AP54" s="1356"/>
      <c r="AQ54" s="1356"/>
      <c r="AR54" s="1356"/>
      <c r="AS54" s="1356"/>
      <c r="AT54" s="1356"/>
      <c r="AU54" s="1357"/>
    </row>
    <row r="55" spans="1:47" ht="17" thickBot="1">
      <c r="A55" s="582" t="str">
        <f t="shared" si="2"/>
        <v/>
      </c>
      <c r="B55" s="580" t="str">
        <f>IFERROR(INDEX(Chem!$1:$1, MATCH(A55, Chem!$1:$1, 0) - 2), "")</f>
        <v/>
      </c>
      <c r="N55" s="1358"/>
      <c r="O55" s="1359"/>
      <c r="P55" s="1359"/>
      <c r="Q55" s="1359"/>
      <c r="R55" s="1359"/>
      <c r="S55" s="1359"/>
      <c r="T55" s="1359"/>
      <c r="U55" s="1359"/>
      <c r="V55" s="1359"/>
      <c r="W55" s="1359"/>
      <c r="X55" s="1359"/>
      <c r="Y55" s="1359"/>
      <c r="Z55" s="1359"/>
      <c r="AA55" s="1359"/>
      <c r="AB55" s="1359"/>
      <c r="AC55" s="1359"/>
      <c r="AD55" s="1359"/>
      <c r="AE55" s="1359"/>
      <c r="AF55" s="1359"/>
      <c r="AG55" s="1359"/>
      <c r="AH55" s="1359"/>
      <c r="AI55" s="1359"/>
      <c r="AJ55" s="1359"/>
      <c r="AK55" s="1359"/>
      <c r="AL55" s="1359"/>
      <c r="AM55" s="1359"/>
      <c r="AN55" s="1359"/>
      <c r="AO55" s="1359"/>
      <c r="AP55" s="1359"/>
      <c r="AQ55" s="1359"/>
      <c r="AR55" s="1359"/>
      <c r="AS55" s="1359"/>
      <c r="AT55" s="1359"/>
      <c r="AU55" s="1360"/>
    </row>
    <row r="56" spans="1:47" ht="17" thickBot="1">
      <c r="A56" s="582" t="str">
        <f t="shared" si="2"/>
        <v/>
      </c>
      <c r="B56" s="580" t="str">
        <f>IFERROR(INDEX(Chem!$1:$1, MATCH(A56, Chem!$1:$1, 0) - 2), "")</f>
        <v/>
      </c>
      <c r="N56" s="834" t="s">
        <v>964</v>
      </c>
      <c r="O56" s="829"/>
      <c r="P56" s="75"/>
      <c r="Q56" s="75"/>
      <c r="R56" s="829"/>
      <c r="S56" s="830" t="s">
        <v>1022</v>
      </c>
      <c r="T56" s="691" t="s">
        <v>1003</v>
      </c>
      <c r="U56" s="12"/>
      <c r="V56" s="12"/>
      <c r="W56" s="323" t="s">
        <v>965</v>
      </c>
      <c r="X56" s="829"/>
      <c r="Y56" s="75"/>
      <c r="Z56" s="75"/>
      <c r="AA56" s="75"/>
      <c r="AB56" s="830" t="s">
        <v>1022</v>
      </c>
      <c r="AC56" s="691" t="s">
        <v>1003</v>
      </c>
      <c r="AD56" s="12"/>
      <c r="AE56" s="12"/>
      <c r="AF56" s="323" t="s">
        <v>966</v>
      </c>
      <c r="AG56" s="829"/>
      <c r="AH56" s="75"/>
      <c r="AI56" s="75"/>
      <c r="AJ56" s="75"/>
      <c r="AK56" s="830" t="s">
        <v>1022</v>
      </c>
      <c r="AL56" s="691" t="s">
        <v>1003</v>
      </c>
      <c r="AM56" s="12"/>
      <c r="AN56" s="12"/>
      <c r="AO56" s="323" t="s">
        <v>1001</v>
      </c>
      <c r="AP56" s="829"/>
      <c r="AQ56" s="75"/>
      <c r="AR56" s="75"/>
      <c r="AS56" s="829"/>
      <c r="AT56" s="833" t="s">
        <v>1022</v>
      </c>
      <c r="AU56" s="657" t="s">
        <v>1003</v>
      </c>
    </row>
    <row r="57" spans="1:47" ht="17" thickBot="1">
      <c r="A57" s="582" t="str">
        <f t="shared" si="2"/>
        <v/>
      </c>
      <c r="B57" s="580" t="str">
        <f>IFERROR(INDEX(Chem!$1:$1, MATCH(A57, Chem!$1:$1, 0) - 2), "")</f>
        <v/>
      </c>
      <c r="N57" s="323"/>
      <c r="O57" s="75"/>
      <c r="P57" s="75"/>
      <c r="Q57" s="75"/>
      <c r="R57" s="829"/>
      <c r="S57" s="830">
        <v>2</v>
      </c>
      <c r="T57" s="691">
        <v>2</v>
      </c>
      <c r="U57" s="12"/>
      <c r="V57" s="12"/>
      <c r="W57" s="41"/>
      <c r="X57" s="12"/>
      <c r="Y57" s="12"/>
      <c r="Z57" s="12"/>
      <c r="AA57" s="12"/>
      <c r="AB57" s="830">
        <v>1</v>
      </c>
      <c r="AC57" s="691">
        <v>2</v>
      </c>
      <c r="AD57" s="12"/>
      <c r="AE57" s="12"/>
      <c r="AF57" s="323"/>
      <c r="AG57" s="75"/>
      <c r="AH57" s="75"/>
      <c r="AI57" s="75"/>
      <c r="AJ57" s="75"/>
      <c r="AK57" s="830">
        <v>3</v>
      </c>
      <c r="AL57" s="691">
        <v>3</v>
      </c>
      <c r="AM57" s="12"/>
      <c r="AN57" s="12"/>
      <c r="AO57" s="323"/>
      <c r="AP57" s="75"/>
      <c r="AQ57" s="75"/>
      <c r="AR57" s="75"/>
      <c r="AS57" s="829"/>
      <c r="AT57" s="831">
        <v>1</v>
      </c>
      <c r="AU57" s="832">
        <v>2</v>
      </c>
    </row>
    <row r="58" spans="1:47" ht="17" thickBot="1">
      <c r="A58" s="582" t="str">
        <f t="shared" si="2"/>
        <v/>
      </c>
      <c r="B58" s="580" t="str">
        <f>IFERROR(INDEX(Chem!$1:$1, MATCH(A58, Chem!$1:$1, 0) - 2), "")</f>
        <v/>
      </c>
      <c r="N58" s="769"/>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770"/>
    </row>
    <row r="59" spans="1:47">
      <c r="N59" s="91"/>
      <c r="O59" s="92"/>
      <c r="P59" s="92"/>
      <c r="Q59" s="92"/>
      <c r="R59" s="92"/>
      <c r="S59" s="92"/>
      <c r="T59" s="811"/>
      <c r="U59" s="12"/>
      <c r="V59" s="12"/>
      <c r="W59" s="91"/>
      <c r="X59" s="92"/>
      <c r="Y59" s="92"/>
      <c r="Z59" s="92"/>
      <c r="AA59" s="92"/>
      <c r="AB59" s="92"/>
      <c r="AC59" s="811"/>
      <c r="AD59" s="12"/>
      <c r="AE59" s="12"/>
      <c r="AF59" s="91"/>
      <c r="AG59" s="92"/>
      <c r="AH59" s="92"/>
      <c r="AI59" s="92"/>
      <c r="AJ59" s="92"/>
      <c r="AK59" s="92"/>
      <c r="AL59" s="811"/>
      <c r="AM59" s="12"/>
      <c r="AN59" s="12"/>
      <c r="AO59" s="91"/>
      <c r="AP59" s="92"/>
      <c r="AQ59" s="92"/>
      <c r="AR59" s="92"/>
      <c r="AS59" s="92"/>
      <c r="AT59" s="92"/>
      <c r="AU59" s="811"/>
    </row>
    <row r="60" spans="1:47">
      <c r="N60" s="812">
        <v>100</v>
      </c>
      <c r="O60" s="641">
        <f>N60+25</f>
        <v>125</v>
      </c>
      <c r="P60" s="641">
        <f t="shared" ref="P60:T60" si="3">O60+25</f>
        <v>150</v>
      </c>
      <c r="Q60" s="641">
        <f t="shared" si="3"/>
        <v>175</v>
      </c>
      <c r="R60" s="641">
        <f t="shared" si="3"/>
        <v>200</v>
      </c>
      <c r="S60" s="641">
        <f t="shared" si="3"/>
        <v>225</v>
      </c>
      <c r="T60" s="813">
        <f t="shared" si="3"/>
        <v>250</v>
      </c>
      <c r="U60" s="12"/>
      <c r="V60" s="12"/>
      <c r="W60" s="812">
        <v>100</v>
      </c>
      <c r="X60" s="641">
        <v>125</v>
      </c>
      <c r="Y60" s="641">
        <v>150</v>
      </c>
      <c r="Z60" s="641">
        <v>175</v>
      </c>
      <c r="AA60" s="641">
        <v>200</v>
      </c>
      <c r="AB60" s="641">
        <v>225</v>
      </c>
      <c r="AC60" s="813">
        <v>250</v>
      </c>
      <c r="AD60" s="12"/>
      <c r="AE60" s="12"/>
      <c r="AF60" s="812">
        <v>180</v>
      </c>
      <c r="AG60" s="641">
        <v>220</v>
      </c>
      <c r="AH60" s="641">
        <v>260</v>
      </c>
      <c r="AI60" s="641">
        <v>300</v>
      </c>
      <c r="AJ60" s="641">
        <v>120</v>
      </c>
      <c r="AK60" s="641">
        <v>400</v>
      </c>
      <c r="AL60" s="813">
        <v>360</v>
      </c>
      <c r="AM60" s="12"/>
      <c r="AN60" s="12"/>
      <c r="AO60" s="812">
        <v>25</v>
      </c>
      <c r="AP60" s="641">
        <v>25</v>
      </c>
      <c r="AQ60" s="641">
        <v>25</v>
      </c>
      <c r="AR60" s="641">
        <v>25</v>
      </c>
      <c r="AS60" s="641">
        <v>25</v>
      </c>
      <c r="AT60" s="641">
        <v>25</v>
      </c>
      <c r="AU60" s="813">
        <v>25</v>
      </c>
    </row>
    <row r="61" spans="1:47">
      <c r="N61" s="814">
        <v>26</v>
      </c>
      <c r="O61" s="640">
        <f>N61+2</f>
        <v>28</v>
      </c>
      <c r="P61" s="640">
        <f t="shared" ref="P61:T61" si="4">O61+2</f>
        <v>30</v>
      </c>
      <c r="Q61" s="640">
        <f t="shared" si="4"/>
        <v>32</v>
      </c>
      <c r="R61" s="640">
        <f t="shared" si="4"/>
        <v>34</v>
      </c>
      <c r="S61" s="640">
        <f t="shared" si="4"/>
        <v>36</v>
      </c>
      <c r="T61" s="815">
        <f t="shared" si="4"/>
        <v>38</v>
      </c>
      <c r="U61" s="12"/>
      <c r="V61" s="12"/>
      <c r="W61" s="814">
        <v>20</v>
      </c>
      <c r="X61" s="640">
        <v>22</v>
      </c>
      <c r="Y61" s="640">
        <v>24</v>
      </c>
      <c r="Z61" s="640">
        <v>26</v>
      </c>
      <c r="AA61" s="640">
        <v>28</v>
      </c>
      <c r="AB61" s="640">
        <v>30</v>
      </c>
      <c r="AC61" s="815">
        <v>32</v>
      </c>
      <c r="AD61" s="12"/>
      <c r="AE61" s="12"/>
      <c r="AF61" s="814">
        <v>12</v>
      </c>
      <c r="AG61" s="640">
        <v>12</v>
      </c>
      <c r="AH61" s="640">
        <v>12</v>
      </c>
      <c r="AI61" s="640">
        <v>12</v>
      </c>
      <c r="AJ61" s="640">
        <v>14</v>
      </c>
      <c r="AK61" s="640">
        <v>12</v>
      </c>
      <c r="AL61" s="815">
        <v>18</v>
      </c>
      <c r="AM61" s="12"/>
      <c r="AN61" s="12"/>
      <c r="AO61" s="814">
        <v>18</v>
      </c>
      <c r="AP61" s="640">
        <v>18</v>
      </c>
      <c r="AQ61" s="640">
        <v>18</v>
      </c>
      <c r="AR61" s="640">
        <v>18</v>
      </c>
      <c r="AS61" s="640">
        <v>18</v>
      </c>
      <c r="AT61" s="640">
        <v>18</v>
      </c>
      <c r="AU61" s="815">
        <v>18</v>
      </c>
    </row>
    <row r="62" spans="1:47">
      <c r="N62" s="814">
        <v>1</v>
      </c>
      <c r="O62" s="640">
        <v>1</v>
      </c>
      <c r="P62" s="640">
        <v>1</v>
      </c>
      <c r="Q62" s="640">
        <v>1</v>
      </c>
      <c r="R62" s="640">
        <v>1</v>
      </c>
      <c r="S62" s="640">
        <v>1</v>
      </c>
      <c r="T62" s="815">
        <v>1</v>
      </c>
      <c r="U62" s="12"/>
      <c r="V62" s="12"/>
      <c r="W62" s="814">
        <v>1</v>
      </c>
      <c r="X62" s="640">
        <v>1</v>
      </c>
      <c r="Y62" s="640">
        <v>1</v>
      </c>
      <c r="Z62" s="640">
        <v>1</v>
      </c>
      <c r="AA62" s="640">
        <v>1</v>
      </c>
      <c r="AB62" s="640">
        <v>1</v>
      </c>
      <c r="AC62" s="815">
        <v>1</v>
      </c>
      <c r="AD62" s="12"/>
      <c r="AE62" s="12"/>
      <c r="AF62" s="814">
        <v>1</v>
      </c>
      <c r="AG62" s="640">
        <v>1</v>
      </c>
      <c r="AH62" s="640">
        <v>1</v>
      </c>
      <c r="AI62" s="640">
        <v>1</v>
      </c>
      <c r="AJ62" s="640">
        <v>1</v>
      </c>
      <c r="AK62" s="640">
        <v>1</v>
      </c>
      <c r="AL62" s="815">
        <v>2</v>
      </c>
      <c r="AM62" s="12"/>
      <c r="AN62" s="12"/>
      <c r="AO62" s="814">
        <v>1</v>
      </c>
      <c r="AP62" s="640">
        <v>1</v>
      </c>
      <c r="AQ62" s="640">
        <v>1</v>
      </c>
      <c r="AR62" s="640">
        <v>1</v>
      </c>
      <c r="AS62" s="640">
        <v>1</v>
      </c>
      <c r="AT62" s="640">
        <v>1</v>
      </c>
      <c r="AU62" s="815">
        <v>1</v>
      </c>
    </row>
    <row r="63" spans="1:47">
      <c r="N63" s="812">
        <v>1</v>
      </c>
      <c r="O63" s="641">
        <v>1</v>
      </c>
      <c r="P63" s="641">
        <v>1</v>
      </c>
      <c r="Q63" s="641">
        <v>1</v>
      </c>
      <c r="R63" s="641">
        <v>1</v>
      </c>
      <c r="S63" s="641">
        <v>1</v>
      </c>
      <c r="T63" s="813">
        <v>1</v>
      </c>
      <c r="U63" s="12"/>
      <c r="V63" s="12"/>
      <c r="W63" s="812">
        <v>2</v>
      </c>
      <c r="X63" s="641">
        <v>2</v>
      </c>
      <c r="Y63" s="641">
        <v>2</v>
      </c>
      <c r="Z63" s="641">
        <v>2</v>
      </c>
      <c r="AA63" s="641">
        <v>2</v>
      </c>
      <c r="AB63" s="641">
        <v>2</v>
      </c>
      <c r="AC63" s="813">
        <v>2</v>
      </c>
      <c r="AD63" s="12"/>
      <c r="AE63" s="12"/>
      <c r="AF63" s="812">
        <v>5</v>
      </c>
      <c r="AG63" s="641">
        <v>5</v>
      </c>
      <c r="AH63" s="641">
        <v>5</v>
      </c>
      <c r="AI63" s="641">
        <v>5</v>
      </c>
      <c r="AJ63" s="641">
        <v>5</v>
      </c>
      <c r="AK63" s="641">
        <v>5</v>
      </c>
      <c r="AL63" s="813">
        <v>6</v>
      </c>
      <c r="AM63" s="12"/>
      <c r="AN63" s="12"/>
      <c r="AO63" s="812">
        <v>1</v>
      </c>
      <c r="AP63" s="641">
        <v>1</v>
      </c>
      <c r="AQ63" s="641">
        <v>1</v>
      </c>
      <c r="AR63" s="641">
        <v>1</v>
      </c>
      <c r="AS63" s="641">
        <v>1</v>
      </c>
      <c r="AT63" s="641">
        <v>1</v>
      </c>
      <c r="AU63" s="813">
        <v>1</v>
      </c>
    </row>
    <row r="64" spans="1:47">
      <c r="N64" s="812">
        <v>1</v>
      </c>
      <c r="O64" s="641">
        <v>1</v>
      </c>
      <c r="P64" s="641">
        <v>1</v>
      </c>
      <c r="Q64" s="641">
        <v>1</v>
      </c>
      <c r="R64" s="641">
        <v>1</v>
      </c>
      <c r="S64" s="641">
        <v>1</v>
      </c>
      <c r="T64" s="813">
        <v>1</v>
      </c>
      <c r="U64" s="12"/>
      <c r="V64" s="12"/>
      <c r="W64" s="812">
        <v>1</v>
      </c>
      <c r="X64" s="641">
        <v>1</v>
      </c>
      <c r="Y64" s="641">
        <v>1</v>
      </c>
      <c r="Z64" s="641">
        <v>1</v>
      </c>
      <c r="AA64" s="641">
        <v>1</v>
      </c>
      <c r="AB64" s="641">
        <v>1</v>
      </c>
      <c r="AC64" s="813">
        <v>1</v>
      </c>
      <c r="AD64" s="12"/>
      <c r="AE64" s="12"/>
      <c r="AF64" s="812">
        <v>4</v>
      </c>
      <c r="AG64" s="641">
        <v>4</v>
      </c>
      <c r="AH64" s="641">
        <v>4</v>
      </c>
      <c r="AI64" s="641">
        <v>4</v>
      </c>
      <c r="AJ64" s="641">
        <v>2</v>
      </c>
      <c r="AK64" s="641">
        <v>4</v>
      </c>
      <c r="AL64" s="813">
        <v>4</v>
      </c>
      <c r="AM64" s="12"/>
      <c r="AN64" s="12"/>
      <c r="AO64" s="812">
        <v>1</v>
      </c>
      <c r="AP64" s="641">
        <v>1</v>
      </c>
      <c r="AQ64" s="641">
        <v>1</v>
      </c>
      <c r="AR64" s="641">
        <v>1</v>
      </c>
      <c r="AS64" s="641">
        <v>1</v>
      </c>
      <c r="AT64" s="641">
        <v>1</v>
      </c>
      <c r="AU64" s="813">
        <v>1</v>
      </c>
    </row>
    <row r="65" spans="1:47">
      <c r="N65" s="812">
        <v>1</v>
      </c>
      <c r="O65" s="641">
        <v>1</v>
      </c>
      <c r="P65" s="641">
        <v>1</v>
      </c>
      <c r="Q65" s="641">
        <v>1</v>
      </c>
      <c r="R65" s="641">
        <v>1</v>
      </c>
      <c r="S65" s="641">
        <v>1</v>
      </c>
      <c r="T65" s="813">
        <v>1</v>
      </c>
      <c r="U65" s="12"/>
      <c r="V65" s="12"/>
      <c r="W65" s="812">
        <v>1</v>
      </c>
      <c r="X65" s="641">
        <v>1</v>
      </c>
      <c r="Y65" s="641">
        <v>1</v>
      </c>
      <c r="Z65" s="641">
        <v>1</v>
      </c>
      <c r="AA65" s="641">
        <v>1</v>
      </c>
      <c r="AB65" s="641">
        <v>1</v>
      </c>
      <c r="AC65" s="813">
        <v>1</v>
      </c>
      <c r="AD65" s="12"/>
      <c r="AE65" s="12"/>
      <c r="AF65" s="812">
        <v>1</v>
      </c>
      <c r="AG65" s="641">
        <v>1</v>
      </c>
      <c r="AH65" s="641">
        <v>1</v>
      </c>
      <c r="AI65" s="641">
        <v>1</v>
      </c>
      <c r="AJ65" s="641">
        <v>1</v>
      </c>
      <c r="AK65" s="641">
        <v>1</v>
      </c>
      <c r="AL65" s="813">
        <v>1</v>
      </c>
      <c r="AM65" s="12"/>
      <c r="AN65" s="12"/>
      <c r="AO65" s="812">
        <v>1</v>
      </c>
      <c r="AP65" s="641">
        <v>1</v>
      </c>
      <c r="AQ65" s="641">
        <v>1</v>
      </c>
      <c r="AR65" s="641">
        <v>1</v>
      </c>
      <c r="AS65" s="641">
        <v>1</v>
      </c>
      <c r="AT65" s="641">
        <v>1</v>
      </c>
      <c r="AU65" s="813">
        <v>1</v>
      </c>
    </row>
    <row r="66" spans="1:47">
      <c r="N66" s="816">
        <v>100000</v>
      </c>
      <c r="O66" s="642">
        <v>100000</v>
      </c>
      <c r="P66" s="642">
        <v>100000</v>
      </c>
      <c r="Q66" s="642">
        <v>100000</v>
      </c>
      <c r="R66" s="642">
        <v>100000</v>
      </c>
      <c r="S66" s="642">
        <v>100000</v>
      </c>
      <c r="T66" s="642">
        <v>100000</v>
      </c>
      <c r="U66" s="12"/>
      <c r="V66" s="12"/>
      <c r="W66" s="816">
        <v>100000</v>
      </c>
      <c r="X66" s="642">
        <v>100000</v>
      </c>
      <c r="Y66" s="642">
        <v>100000</v>
      </c>
      <c r="Z66" s="642">
        <v>100000</v>
      </c>
      <c r="AA66" s="642">
        <v>100000</v>
      </c>
      <c r="AB66" s="642">
        <v>100000</v>
      </c>
      <c r="AC66" s="817">
        <v>100000</v>
      </c>
      <c r="AD66" s="12"/>
      <c r="AE66" s="12"/>
      <c r="AF66" s="816">
        <v>100000</v>
      </c>
      <c r="AG66" s="642">
        <v>100000</v>
      </c>
      <c r="AH66" s="642">
        <v>100000</v>
      </c>
      <c r="AI66" s="642">
        <v>100000</v>
      </c>
      <c r="AJ66" s="642">
        <v>100000</v>
      </c>
      <c r="AK66" s="642">
        <v>100000</v>
      </c>
      <c r="AL66" s="817">
        <v>100000</v>
      </c>
      <c r="AM66" s="12"/>
      <c r="AN66" s="12"/>
      <c r="AO66" s="816">
        <v>100000</v>
      </c>
      <c r="AP66" s="642">
        <v>100000</v>
      </c>
      <c r="AQ66" s="642">
        <v>100000</v>
      </c>
      <c r="AR66" s="642">
        <v>100000</v>
      </c>
      <c r="AS66" s="642">
        <v>100000</v>
      </c>
      <c r="AT66" s="642">
        <v>100000</v>
      </c>
      <c r="AU66" s="817">
        <v>100000</v>
      </c>
    </row>
    <row r="67" spans="1:47">
      <c r="N67" s="818">
        <v>250</v>
      </c>
      <c r="O67" s="644">
        <v>250</v>
      </c>
      <c r="P67" s="644">
        <v>250</v>
      </c>
      <c r="Q67" s="644">
        <v>250</v>
      </c>
      <c r="R67" s="644">
        <v>250</v>
      </c>
      <c r="S67" s="644">
        <v>250</v>
      </c>
      <c r="T67" s="819">
        <v>250</v>
      </c>
      <c r="U67" s="12"/>
      <c r="V67" s="12"/>
      <c r="W67" s="818">
        <v>250</v>
      </c>
      <c r="X67" s="644">
        <v>250</v>
      </c>
      <c r="Y67" s="644">
        <v>250</v>
      </c>
      <c r="Z67" s="644">
        <v>250</v>
      </c>
      <c r="AA67" s="644">
        <v>250</v>
      </c>
      <c r="AB67" s="644">
        <v>250</v>
      </c>
      <c r="AC67" s="819">
        <v>250</v>
      </c>
      <c r="AD67" s="12"/>
      <c r="AE67" s="12"/>
      <c r="AF67" s="818">
        <v>250</v>
      </c>
      <c r="AG67" s="644">
        <v>250</v>
      </c>
      <c r="AH67" s="644">
        <v>250</v>
      </c>
      <c r="AI67" s="644">
        <v>250</v>
      </c>
      <c r="AJ67" s="644">
        <v>200</v>
      </c>
      <c r="AK67" s="644">
        <v>250</v>
      </c>
      <c r="AL67" s="819">
        <v>350</v>
      </c>
      <c r="AM67" s="12"/>
      <c r="AN67" s="12"/>
      <c r="AO67" s="818">
        <v>250</v>
      </c>
      <c r="AP67" s="644">
        <v>250</v>
      </c>
      <c r="AQ67" s="644">
        <v>250</v>
      </c>
      <c r="AR67" s="644">
        <v>250</v>
      </c>
      <c r="AS67" s="644">
        <v>250</v>
      </c>
      <c r="AT67" s="644">
        <v>250</v>
      </c>
      <c r="AU67" s="819">
        <v>250</v>
      </c>
    </row>
    <row r="68" spans="1:47">
      <c r="N68" s="820"/>
      <c r="O68" s="809"/>
      <c r="P68" s="809"/>
      <c r="Q68" s="809"/>
      <c r="R68" s="809"/>
      <c r="S68" s="809"/>
      <c r="T68" s="821"/>
      <c r="U68" s="12"/>
      <c r="V68" s="12"/>
      <c r="W68" s="820"/>
      <c r="X68" s="809"/>
      <c r="Y68" s="809"/>
      <c r="Z68" s="809"/>
      <c r="AA68" s="809"/>
      <c r="AB68" s="809"/>
      <c r="AC68" s="821"/>
      <c r="AD68" s="12"/>
      <c r="AE68" s="12"/>
      <c r="AF68" s="820"/>
      <c r="AG68" s="809"/>
      <c r="AH68" s="809"/>
      <c r="AI68" s="809"/>
      <c r="AJ68" s="809"/>
      <c r="AK68" s="809"/>
      <c r="AL68" s="821"/>
      <c r="AM68" s="12"/>
      <c r="AN68" s="12"/>
      <c r="AO68" s="820"/>
      <c r="AP68" s="809"/>
      <c r="AQ68" s="809"/>
      <c r="AR68" s="809"/>
      <c r="AS68" s="809"/>
      <c r="AT68" s="809"/>
      <c r="AU68" s="821"/>
    </row>
    <row r="69" spans="1:47">
      <c r="N69" s="822"/>
      <c r="O69" s="643"/>
      <c r="P69" s="643"/>
      <c r="Q69" s="643"/>
      <c r="R69" s="643"/>
      <c r="S69" s="643"/>
      <c r="T69" s="823"/>
      <c r="U69" s="12"/>
      <c r="V69" s="12"/>
      <c r="W69" s="822"/>
      <c r="X69" s="643"/>
      <c r="Y69" s="643"/>
      <c r="Z69" s="643"/>
      <c r="AA69" s="643"/>
      <c r="AB69" s="643"/>
      <c r="AC69" s="823"/>
      <c r="AD69" s="12"/>
      <c r="AE69" s="12"/>
      <c r="AF69" s="822"/>
      <c r="AG69" s="643"/>
      <c r="AH69" s="643"/>
      <c r="AI69" s="643"/>
      <c r="AJ69" s="643"/>
      <c r="AK69" s="643"/>
      <c r="AL69" s="823"/>
      <c r="AM69" s="12"/>
      <c r="AN69" s="12"/>
      <c r="AO69" s="822"/>
      <c r="AP69" s="643"/>
      <c r="AQ69" s="643"/>
      <c r="AR69" s="643"/>
      <c r="AS69" s="643"/>
      <c r="AT69" s="643"/>
      <c r="AU69" s="823"/>
    </row>
    <row r="70" spans="1:47">
      <c r="N70" s="824">
        <f>N60/36</f>
        <v>2.7777777777777777</v>
      </c>
      <c r="O70" s="645">
        <f t="shared" ref="O70:T70" si="5">O60/36</f>
        <v>3.4722222222222223</v>
      </c>
      <c r="P70" s="645">
        <f t="shared" si="5"/>
        <v>4.166666666666667</v>
      </c>
      <c r="Q70" s="645">
        <f t="shared" si="5"/>
        <v>4.8611111111111107</v>
      </c>
      <c r="R70" s="645">
        <f t="shared" si="5"/>
        <v>5.5555555555555554</v>
      </c>
      <c r="S70" s="645">
        <f t="shared" si="5"/>
        <v>6.25</v>
      </c>
      <c r="T70" s="825">
        <f t="shared" si="5"/>
        <v>6.9444444444444446</v>
      </c>
      <c r="U70" s="12"/>
      <c r="V70" s="12"/>
      <c r="W70" s="824"/>
      <c r="X70" s="645"/>
      <c r="Y70" s="645"/>
      <c r="Z70" s="645"/>
      <c r="AA70" s="645"/>
      <c r="AB70" s="645"/>
      <c r="AC70" s="825"/>
      <c r="AD70" s="12"/>
      <c r="AE70" s="12"/>
      <c r="AF70" s="824"/>
      <c r="AG70" s="645"/>
      <c r="AH70" s="645"/>
      <c r="AI70" s="645"/>
      <c r="AJ70" s="645"/>
      <c r="AK70" s="645"/>
      <c r="AL70" s="825"/>
      <c r="AM70" s="12"/>
      <c r="AN70" s="12"/>
      <c r="AO70" s="824">
        <v>1</v>
      </c>
      <c r="AP70" s="645">
        <v>1.2</v>
      </c>
      <c r="AQ70" s="645">
        <v>1.4</v>
      </c>
      <c r="AR70" s="645">
        <v>1.6</v>
      </c>
      <c r="AS70" s="645">
        <v>1.8</v>
      </c>
      <c r="AT70" s="645">
        <v>2</v>
      </c>
      <c r="AU70" s="825">
        <v>2.2000000000000002</v>
      </c>
    </row>
    <row r="71" spans="1:47">
      <c r="N71" s="818"/>
      <c r="O71" s="644"/>
      <c r="P71" s="644"/>
      <c r="Q71" s="644"/>
      <c r="R71" s="644"/>
      <c r="S71" s="644"/>
      <c r="T71" s="819"/>
      <c r="U71" s="12"/>
      <c r="V71" s="12"/>
      <c r="W71" s="818">
        <v>40</v>
      </c>
      <c r="X71" s="644">
        <v>40</v>
      </c>
      <c r="Y71" s="644">
        <v>40</v>
      </c>
      <c r="Z71" s="644">
        <v>40</v>
      </c>
      <c r="AA71" s="644">
        <v>40</v>
      </c>
      <c r="AB71" s="644">
        <v>40</v>
      </c>
      <c r="AC71" s="819">
        <v>40</v>
      </c>
      <c r="AD71" s="12"/>
      <c r="AE71" s="12"/>
      <c r="AF71" s="818">
        <v>180</v>
      </c>
      <c r="AG71" s="644">
        <v>220</v>
      </c>
      <c r="AH71" s="644">
        <v>260</v>
      </c>
      <c r="AI71" s="644">
        <v>300</v>
      </c>
      <c r="AJ71" s="644">
        <v>100</v>
      </c>
      <c r="AK71" s="644">
        <v>270</v>
      </c>
      <c r="AL71" s="819">
        <v>300</v>
      </c>
      <c r="AM71" s="12"/>
      <c r="AN71" s="12"/>
      <c r="AO71" s="818"/>
      <c r="AP71" s="644"/>
      <c r="AQ71" s="644"/>
      <c r="AR71" s="644"/>
      <c r="AS71" s="644"/>
      <c r="AT71" s="644"/>
      <c r="AU71" s="819"/>
    </row>
    <row r="72" spans="1:47">
      <c r="N72" s="698"/>
      <c r="O72" s="678"/>
      <c r="P72" s="678"/>
      <c r="Q72" s="678"/>
      <c r="R72" s="678"/>
      <c r="S72" s="678"/>
      <c r="T72" s="657"/>
      <c r="U72" s="12"/>
      <c r="V72" s="12"/>
      <c r="W72" s="698"/>
      <c r="X72" s="678"/>
      <c r="Y72" s="678"/>
      <c r="Z72" s="678"/>
      <c r="AA72" s="678"/>
      <c r="AB72" s="678"/>
      <c r="AC72" s="657"/>
      <c r="AD72" s="12"/>
      <c r="AE72" s="12"/>
      <c r="AF72" s="698"/>
      <c r="AG72" s="678"/>
      <c r="AH72" s="678"/>
      <c r="AI72" s="678"/>
      <c r="AJ72" s="678"/>
      <c r="AK72" s="678"/>
      <c r="AL72" s="657"/>
      <c r="AM72" s="12"/>
      <c r="AN72" s="12"/>
      <c r="AO72" s="698"/>
      <c r="AP72" s="678"/>
      <c r="AQ72" s="678"/>
      <c r="AR72" s="678"/>
      <c r="AS72" s="678"/>
      <c r="AT72" s="678"/>
      <c r="AU72" s="657"/>
    </row>
    <row r="73" spans="1:47" ht="24" thickBot="1">
      <c r="N73" s="826"/>
      <c r="O73" s="810"/>
      <c r="P73" s="810"/>
      <c r="Q73" s="810"/>
      <c r="R73" s="810"/>
      <c r="S73" s="810"/>
      <c r="T73" s="827"/>
      <c r="U73" s="12"/>
      <c r="V73" s="12"/>
      <c r="W73" s="826"/>
      <c r="X73" s="810"/>
      <c r="Y73" s="810"/>
      <c r="Z73" s="810"/>
      <c r="AA73" s="810"/>
      <c r="AB73" s="810"/>
      <c r="AC73" s="827"/>
      <c r="AD73" s="12"/>
      <c r="AE73" s="12"/>
      <c r="AF73" s="735">
        <v>9.65</v>
      </c>
      <c r="AG73" s="735">
        <v>9.65</v>
      </c>
      <c r="AH73" s="735">
        <v>9.65</v>
      </c>
      <c r="AI73" s="735">
        <v>9.65</v>
      </c>
      <c r="AJ73" s="735">
        <v>9.65</v>
      </c>
      <c r="AK73" s="735">
        <v>9.65</v>
      </c>
      <c r="AL73" s="735">
        <v>9.65</v>
      </c>
      <c r="AM73" s="12"/>
      <c r="AN73" s="12"/>
      <c r="AO73" s="826"/>
      <c r="AP73" s="810"/>
      <c r="AQ73" s="810"/>
      <c r="AR73" s="810"/>
      <c r="AS73" s="810"/>
      <c r="AT73" s="810"/>
      <c r="AU73" s="827"/>
    </row>
    <row r="74" spans="1:47" ht="24.75" customHeight="1" thickBot="1">
      <c r="A74">
        <f ca="1">MAX(A76:A200)</f>
        <v>20</v>
      </c>
      <c r="B74" s="1337" t="s">
        <v>982</v>
      </c>
      <c r="C74" s="1338"/>
      <c r="D74" s="1338"/>
      <c r="E74" s="1338"/>
      <c r="F74" s="1338"/>
      <c r="G74" s="1338"/>
      <c r="H74" s="1338"/>
      <c r="I74" s="1339"/>
      <c r="N74" s="769"/>
      <c r="O74" s="12"/>
      <c r="P74" s="12"/>
      <c r="Q74" s="12"/>
      <c r="R74" s="12"/>
      <c r="S74" s="12"/>
      <c r="T74" s="770"/>
      <c r="U74" s="12"/>
      <c r="V74" s="12"/>
      <c r="W74" s="769"/>
      <c r="X74" s="12"/>
      <c r="Y74" s="12"/>
      <c r="Z74" s="12"/>
      <c r="AA74" s="12"/>
      <c r="AB74" s="12"/>
      <c r="AC74" s="770"/>
      <c r="AD74" s="12"/>
      <c r="AE74" s="12"/>
      <c r="AF74" s="769"/>
      <c r="AG74" s="12"/>
      <c r="AH74" s="12"/>
      <c r="AI74" s="12"/>
      <c r="AJ74" s="12"/>
      <c r="AK74" s="12"/>
      <c r="AL74" s="770"/>
      <c r="AM74" s="12"/>
      <c r="AN74" s="12"/>
      <c r="AO74" s="769"/>
      <c r="AP74" s="12"/>
      <c r="AQ74" s="12"/>
      <c r="AR74" s="12"/>
      <c r="AS74" s="12"/>
      <c r="AT74" s="12"/>
      <c r="AU74" s="770"/>
    </row>
    <row r="75" spans="1:47" ht="19" thickBot="1">
      <c r="A75" s="745" t="s">
        <v>313</v>
      </c>
      <c r="B75" s="874" t="s">
        <v>853</v>
      </c>
      <c r="C75" s="875" t="s">
        <v>0</v>
      </c>
      <c r="D75" s="875" t="s">
        <v>1</v>
      </c>
      <c r="E75" s="875" t="s">
        <v>2</v>
      </c>
      <c r="F75" s="875" t="s">
        <v>978</v>
      </c>
      <c r="G75" s="875" t="s">
        <v>4</v>
      </c>
      <c r="H75" s="875" t="s">
        <v>530</v>
      </c>
      <c r="I75" s="876" t="s">
        <v>531</v>
      </c>
      <c r="N75" s="769"/>
      <c r="O75" s="12"/>
      <c r="P75" s="12"/>
      <c r="Q75" s="12"/>
      <c r="R75" s="12"/>
      <c r="S75" s="12"/>
      <c r="T75" s="770"/>
      <c r="U75" s="12"/>
      <c r="V75" s="12"/>
      <c r="W75" s="769"/>
      <c r="X75" s="12"/>
      <c r="Y75" s="12"/>
      <c r="Z75" s="12"/>
      <c r="AA75" s="12"/>
      <c r="AB75" s="12"/>
      <c r="AC75" s="770"/>
      <c r="AD75" s="12"/>
      <c r="AE75" s="12"/>
      <c r="AF75" s="769"/>
      <c r="AG75" s="12"/>
      <c r="AH75" s="12"/>
      <c r="AI75" s="12"/>
      <c r="AJ75" s="12"/>
      <c r="AK75" s="12"/>
      <c r="AL75" s="770"/>
      <c r="AM75" s="12"/>
      <c r="AN75" s="12"/>
      <c r="AO75" s="769"/>
      <c r="AP75" s="12"/>
      <c r="AQ75" s="12"/>
      <c r="AR75" s="12"/>
      <c r="AS75" s="12"/>
      <c r="AT75" s="12"/>
      <c r="AU75" s="770"/>
    </row>
    <row r="76" spans="1:47" ht="21" thickBot="1">
      <c r="A76" s="733">
        <f>IF(ISERROR( Dashboard!C127), "", Dashboard!B127)</f>
        <v>1</v>
      </c>
      <c r="B76" s="866" t="str">
        <f>IFERROR(INDEX('Summary of Results'!$B:$B, MATCH(A76, 'Summary of Results'!$A:$A, 0)), "")</f>
        <v>Battery system total energy storage, kWh</v>
      </c>
      <c r="C76" s="867">
        <f ca="1">IF(OR(ISERROR($B76), $B76 = ""), "", IFERROR(INDEX('Summary of Results'!G:G, MATCH($A76, 'Summary of Results'!$A:$A, 0)), NA()))</f>
        <v>99.999999999999957</v>
      </c>
      <c r="D76" s="868">
        <f ca="1">IF(OR(ISERROR($B76), $B76 = ""), "", IFERROR(INDEX('Summary of Results'!H:H, MATCH($A76, 'Summary of Results'!$A:$A, 0)), NA()))</f>
        <v>99.999999999999957</v>
      </c>
      <c r="E76" s="868">
        <f ca="1">IF(OR(ISERROR($B76), $B76 = ""), "", IFERROR(INDEX('Summary of Results'!I:I, MATCH($A76, 'Summary of Results'!$A:$A, 0)), NA()))</f>
        <v>99.999999999999957</v>
      </c>
      <c r="F76" s="868">
        <f ca="1">IF(OR(ISERROR($B76), $B76 = ""), "", IFERROR(INDEX('Summary of Results'!J:J, MATCH($A76, 'Summary of Results'!$A:$A, 0)), NA()))</f>
        <v>99.999999999999957</v>
      </c>
      <c r="G76" s="868">
        <f ca="1">IF(OR(ISERROR($B76), $B76 = ""), "", IFERROR(INDEX('Summary of Results'!K:K, MATCH($A76, 'Summary of Results'!$A:$A, 0)), NA()))</f>
        <v>99.999999999999957</v>
      </c>
      <c r="H76" s="868">
        <f ca="1">IF(OR(ISERROR($B76), $B76 = ""), "", IFERROR(INDEX('Summary of Results'!L:L, MATCH($A76, 'Summary of Results'!$A:$A, 0)), NA()))</f>
        <v>99.999999999999957</v>
      </c>
      <c r="I76" s="869">
        <f ca="1">IF(OR(ISERROR($B76), $B76 = ""), "", IFERROR(INDEX('Summary of Results'!M:M, MATCH($A76, 'Summary of Results'!$A:$A, 0)), NA()))</f>
        <v>99.999999999999957</v>
      </c>
      <c r="N76" s="828"/>
      <c r="O76" s="75"/>
      <c r="P76" s="75"/>
      <c r="Q76" s="75"/>
      <c r="R76" s="75"/>
      <c r="S76" s="75"/>
      <c r="T76" s="829"/>
      <c r="U76" s="12"/>
      <c r="V76" s="12"/>
      <c r="W76" s="828"/>
      <c r="X76" s="75"/>
      <c r="Y76" s="75"/>
      <c r="Z76" s="75"/>
      <c r="AA76" s="75"/>
      <c r="AB76" s="75"/>
      <c r="AC76" s="829"/>
      <c r="AD76" s="12"/>
      <c r="AE76" s="12"/>
      <c r="AF76" s="828"/>
      <c r="AG76" s="75"/>
      <c r="AH76" s="75"/>
      <c r="AI76" s="75"/>
      <c r="AJ76" s="75"/>
      <c r="AK76" s="75"/>
      <c r="AL76" s="829"/>
      <c r="AM76" s="12"/>
      <c r="AN76" s="12"/>
      <c r="AO76" s="828"/>
      <c r="AP76" s="75"/>
      <c r="AQ76" s="75"/>
      <c r="AR76" s="75"/>
      <c r="AS76" s="75"/>
      <c r="AT76" s="75"/>
      <c r="AU76" s="829"/>
    </row>
    <row r="77" spans="1:47" ht="20">
      <c r="A77" s="733">
        <f>IF(ISERROR( Dashboard!C128), "", Dashboard!B128)</f>
        <v>2</v>
      </c>
      <c r="B77" s="870" t="str">
        <f>IFERROR(INDEX('Summary of Results'!$B:$B, MATCH(A77, 'Summary of Results'!$A:$A, 0)), "")</f>
        <v>Required battery system power, kW</v>
      </c>
      <c r="C77" s="871">
        <f>IF(OR(ISERROR($B77), $B77 = ""), "", IFERROR(INDEX('Summary of Results'!G:G, MATCH($A77, 'Summary of Results'!$A:$A, 0)), NA()))</f>
        <v>200</v>
      </c>
      <c r="D77" s="872">
        <f>IF(OR(ISERROR($B77), $B77 = ""), "", IFERROR(INDEX('Summary of Results'!H:H, MATCH($A77, 'Summary of Results'!$A:$A, 0)), NA()))</f>
        <v>200</v>
      </c>
      <c r="E77" s="872">
        <f>IF(OR(ISERROR($B77), $B77 = ""), "", IFERROR(INDEX('Summary of Results'!I:I, MATCH($A77, 'Summary of Results'!$A:$A, 0)), NA()))</f>
        <v>200</v>
      </c>
      <c r="F77" s="872">
        <f>IF(OR(ISERROR($B77), $B77 = ""), "", IFERROR(INDEX('Summary of Results'!J:J, MATCH($A77, 'Summary of Results'!$A:$A, 0)), NA()))</f>
        <v>200</v>
      </c>
      <c r="G77" s="872">
        <f>IF(OR(ISERROR($B77), $B77 = ""), "", IFERROR(INDEX('Summary of Results'!K:K, MATCH($A77, 'Summary of Results'!$A:$A, 0)), NA()))</f>
        <v>200</v>
      </c>
      <c r="H77" s="872">
        <f>IF(OR(ISERROR($B77), $B77 = ""), "", IFERROR(INDEX('Summary of Results'!L:L, MATCH($A77, 'Summary of Results'!$A:$A, 0)), NA()))</f>
        <v>200</v>
      </c>
      <c r="I77" s="873">
        <f>IF(OR(ISERROR($B77), $B77 = ""), "", IFERROR(INDEX('Summary of Results'!M:M, MATCH($A77, 'Summary of Results'!$A:$A, 0)), NA()))</f>
        <v>200</v>
      </c>
      <c r="N77" s="769"/>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770"/>
    </row>
    <row r="78" spans="1:47" ht="21" thickBot="1">
      <c r="A78" s="733">
        <f>IF(ISERROR( Dashboard!C129), "", Dashboard!B129)</f>
        <v>3</v>
      </c>
      <c r="B78" s="870" t="str">
        <f>IFERROR(INDEX('Summary of Results'!$B:$B, MATCH(A78, 'Summary of Results'!$A:$A, 0)), "")</f>
        <v>Pack power to energy ratio</v>
      </c>
      <c r="C78" s="871">
        <f ca="1">IF(OR(ISERROR($B78), $B78 = ""), "", IFERROR(INDEX('Summary of Results'!G:G, MATCH($A78, 'Summary of Results'!$A:$A, 0)), NA()))</f>
        <v>2.0000000000000009</v>
      </c>
      <c r="D78" s="872">
        <f ca="1">IF(OR(ISERROR($B78), $B78 = ""), "", IFERROR(INDEX('Summary of Results'!H:H, MATCH($A78, 'Summary of Results'!$A:$A, 0)), NA()))</f>
        <v>2.0000000000000009</v>
      </c>
      <c r="E78" s="872">
        <f ca="1">IF(OR(ISERROR($B78), $B78 = ""), "", IFERROR(INDEX('Summary of Results'!I:I, MATCH($A78, 'Summary of Results'!$A:$A, 0)), NA()))</f>
        <v>2.0000000000000009</v>
      </c>
      <c r="F78" s="872">
        <f ca="1">IF(OR(ISERROR($B78), $B78 = ""), "", IFERROR(INDEX('Summary of Results'!J:J, MATCH($A78, 'Summary of Results'!$A:$A, 0)), NA()))</f>
        <v>2.0000000000000009</v>
      </c>
      <c r="G78" s="872">
        <f ca="1">IF(OR(ISERROR($B78), $B78 = ""), "", IFERROR(INDEX('Summary of Results'!K:K, MATCH($A78, 'Summary of Results'!$A:$A, 0)), NA()))</f>
        <v>2.0000000000000009</v>
      </c>
      <c r="H78" s="872">
        <f ca="1">IF(OR(ISERROR($B78), $B78 = ""), "", IFERROR(INDEX('Summary of Results'!L:L, MATCH($A78, 'Summary of Results'!$A:$A, 0)), NA()))</f>
        <v>2.0000000000000009</v>
      </c>
      <c r="I78" s="873">
        <f ca="1">IF(OR(ISERROR($B78), $B78 = ""), "", IFERROR(INDEX('Summary of Results'!M:M, MATCH($A78, 'Summary of Results'!$A:$A, 0)), NA()))</f>
        <v>2.0000000000000009</v>
      </c>
      <c r="N78" s="769"/>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770"/>
    </row>
    <row r="79" spans="1:47" ht="20">
      <c r="A79" s="733">
        <f>IF(ISERROR( Dashboard!C130), "", Dashboard!B130)</f>
        <v>4</v>
      </c>
      <c r="B79" s="870" t="str">
        <f>IFERROR(INDEX('Summary of Results'!$B:$B, MATCH(A79, 'Summary of Results'!$A:$A, 0)), "")</f>
        <v>Pack charging time for 80% ΔSOC, min</v>
      </c>
      <c r="C79" s="871">
        <f>IF(OR(ISERROR($B79), $B79 = ""), "", IFERROR(INDEX('Summary of Results'!G:G, MATCH($A79, 'Summary of Results'!$A:$A, 0)), NA()))</f>
        <v>56</v>
      </c>
      <c r="D79" s="872">
        <f>IF(OR(ISERROR($B79), $B79 = ""), "", IFERROR(INDEX('Summary of Results'!H:H, MATCH($A79, 'Summary of Results'!$A:$A, 0)), NA()))</f>
        <v>56</v>
      </c>
      <c r="E79" s="872">
        <f>IF(OR(ISERROR($B79), $B79 = ""), "", IFERROR(INDEX('Summary of Results'!I:I, MATCH($A79, 'Summary of Results'!$A:$A, 0)), NA()))</f>
        <v>56</v>
      </c>
      <c r="F79" s="872">
        <f>IF(OR(ISERROR($B79), $B79 = ""), "", IFERROR(INDEX('Summary of Results'!J:J, MATCH($A79, 'Summary of Results'!$A:$A, 0)), NA()))</f>
        <v>56</v>
      </c>
      <c r="G79" s="872">
        <f>IF(OR(ISERROR($B79), $B79 = ""), "", IFERROR(INDEX('Summary of Results'!K:K, MATCH($A79, 'Summary of Results'!$A:$A, 0)), NA()))</f>
        <v>56</v>
      </c>
      <c r="H79" s="872">
        <f>IF(OR(ISERROR($B79), $B79 = ""), "", IFERROR(INDEX('Summary of Results'!L:L, MATCH($A79, 'Summary of Results'!$A:$A, 0)), NA()))</f>
        <v>56</v>
      </c>
      <c r="I79" s="873">
        <f>IF(OR(ISERROR($B79), $B79 = ""), "", IFERROR(INDEX('Summary of Results'!M:M, MATCH($A79, 'Summary of Results'!$A:$A, 0)), NA()))</f>
        <v>56</v>
      </c>
      <c r="N79" s="91"/>
      <c r="O79" s="92"/>
      <c r="P79" s="92"/>
      <c r="Q79" s="92"/>
      <c r="R79" s="92"/>
      <c r="S79" s="92"/>
      <c r="T79" s="811"/>
      <c r="U79" s="12"/>
      <c r="V79" s="12"/>
      <c r="W79" s="91"/>
      <c r="X79" s="92"/>
      <c r="Y79" s="92"/>
      <c r="Z79" s="92"/>
      <c r="AA79" s="92"/>
      <c r="AB79" s="92"/>
      <c r="AC79" s="811"/>
      <c r="AD79" s="12"/>
      <c r="AE79" s="12"/>
      <c r="AF79" s="91"/>
      <c r="AG79" s="92"/>
      <c r="AH79" s="92"/>
      <c r="AI79" s="92"/>
      <c r="AJ79" s="92"/>
      <c r="AK79" s="92"/>
      <c r="AL79" s="811"/>
      <c r="AM79" s="12"/>
      <c r="AN79" s="12"/>
      <c r="AO79" s="91"/>
      <c r="AP79" s="92"/>
      <c r="AQ79" s="92"/>
      <c r="AR79" s="92"/>
      <c r="AS79" s="92"/>
      <c r="AT79" s="92"/>
      <c r="AU79" s="811"/>
    </row>
    <row r="80" spans="1:47" ht="20">
      <c r="A80" s="733">
        <f>IF(ISERROR( Dashboard!C131), "", Dashboard!B131)</f>
        <v>5</v>
      </c>
      <c r="B80" s="870" t="str">
        <f>IFERROR(INDEX('Summary of Results'!$B:$B, MATCH(A80, 'Summary of Results'!$A:$A, 0)), "")</f>
        <v>Cell capacity inadequate if X</v>
      </c>
      <c r="C80" s="871" t="str">
        <f ca="1">IF(OR(ISERROR($B80), $B80 = ""), "", IFERROR(INDEX('Summary of Results'!G:G, MATCH($A80, 'Summary of Results'!$A:$A, 0)), NA()))</f>
        <v/>
      </c>
      <c r="D80" s="872" t="str">
        <f ca="1">IF(OR(ISERROR($B80), $B80 = ""), "", IFERROR(INDEX('Summary of Results'!H:H, MATCH($A80, 'Summary of Results'!$A:$A, 0)), NA()))</f>
        <v/>
      </c>
      <c r="E80" s="872" t="str">
        <f ca="1">IF(OR(ISERROR($B80), $B80 = ""), "", IFERROR(INDEX('Summary of Results'!I:I, MATCH($A80, 'Summary of Results'!$A:$A, 0)), NA()))</f>
        <v/>
      </c>
      <c r="F80" s="872" t="str">
        <f ca="1">IF(OR(ISERROR($B80), $B80 = ""), "", IFERROR(INDEX('Summary of Results'!J:J, MATCH($A80, 'Summary of Results'!$A:$A, 0)), NA()))</f>
        <v/>
      </c>
      <c r="G80" s="872" t="str">
        <f ca="1">IF(OR(ISERROR($B80), $B80 = ""), "", IFERROR(INDEX('Summary of Results'!K:K, MATCH($A80, 'Summary of Results'!$A:$A, 0)), NA()))</f>
        <v/>
      </c>
      <c r="H80" s="872" t="str">
        <f ca="1">IF(OR(ISERROR($B80), $B80 = ""), "", IFERROR(INDEX('Summary of Results'!L:L, MATCH($A80, 'Summary of Results'!$A:$A, 0)), NA()))</f>
        <v/>
      </c>
      <c r="I80" s="873" t="str">
        <f ca="1">IF(OR(ISERROR($B80), $B80 = ""), "", IFERROR(INDEX('Summary of Results'!M:M, MATCH($A80, 'Summary of Results'!$A:$A, 0)), NA()))</f>
        <v/>
      </c>
      <c r="N80" s="641">
        <v>150</v>
      </c>
      <c r="O80" s="641">
        <v>150</v>
      </c>
      <c r="P80" s="641">
        <v>150</v>
      </c>
      <c r="Q80" s="641">
        <v>150</v>
      </c>
      <c r="R80" s="641">
        <v>150</v>
      </c>
      <c r="S80" s="641">
        <v>150</v>
      </c>
      <c r="T80" s="641">
        <v>150</v>
      </c>
      <c r="U80" s="12"/>
      <c r="V80" s="12"/>
      <c r="W80" s="812">
        <v>100</v>
      </c>
      <c r="X80" s="641">
        <v>125</v>
      </c>
      <c r="Y80" s="641">
        <v>150</v>
      </c>
      <c r="Z80" s="641">
        <v>175</v>
      </c>
      <c r="AA80" s="641">
        <v>200</v>
      </c>
      <c r="AB80" s="641">
        <v>225</v>
      </c>
      <c r="AC80" s="813">
        <v>250</v>
      </c>
      <c r="AD80" s="12"/>
      <c r="AE80" s="12"/>
      <c r="AF80" s="812">
        <v>200</v>
      </c>
      <c r="AG80" s="641">
        <v>200</v>
      </c>
      <c r="AH80" s="641">
        <v>200</v>
      </c>
      <c r="AI80" s="641">
        <v>200</v>
      </c>
      <c r="AJ80" s="641">
        <v>200</v>
      </c>
      <c r="AK80" s="641">
        <v>200</v>
      </c>
      <c r="AL80" s="813">
        <v>200</v>
      </c>
      <c r="AM80" s="12"/>
      <c r="AN80" s="12"/>
      <c r="AO80" s="812">
        <v>25</v>
      </c>
      <c r="AP80" s="641">
        <v>25</v>
      </c>
      <c r="AQ80" s="641">
        <v>25</v>
      </c>
      <c r="AR80" s="641">
        <v>25</v>
      </c>
      <c r="AS80" s="641">
        <v>25</v>
      </c>
      <c r="AT80" s="641">
        <v>25</v>
      </c>
      <c r="AU80" s="813">
        <v>25</v>
      </c>
    </row>
    <row r="81" spans="1:47" ht="20">
      <c r="A81" s="733">
        <f>IF(ISERROR( Dashboard!C132), "", Dashboard!B132)</f>
        <v>6</v>
      </c>
      <c r="B81" s="870" t="str">
        <f>IFERROR(INDEX('Summary of Results'!$B:$B, MATCH(A81, 'Summary of Results'!$A:$A, 0)), "")</f>
        <v>Positive electrode thickness, µm</v>
      </c>
      <c r="C81" s="871">
        <f ca="1">IF(OR(ISERROR($B81), $B81 = ""), "", IFERROR(INDEX('Summary of Results'!G:G, MATCH($A81, 'Summary of Results'!$A:$A, 0)), NA()))</f>
        <v>120</v>
      </c>
      <c r="D81" s="872">
        <f ca="1">IF(OR(ISERROR($B81), $B81 = ""), "", IFERROR(INDEX('Summary of Results'!H:H, MATCH($A81, 'Summary of Results'!$A:$A, 0)), NA()))</f>
        <v>120</v>
      </c>
      <c r="E81" s="872">
        <f ca="1">IF(OR(ISERROR($B81), $B81 = ""), "", IFERROR(INDEX('Summary of Results'!I:I, MATCH($A81, 'Summary of Results'!$A:$A, 0)), NA()))</f>
        <v>120</v>
      </c>
      <c r="F81" s="872">
        <f ca="1">IF(OR(ISERROR($B81), $B81 = ""), "", IFERROR(INDEX('Summary of Results'!J:J, MATCH($A81, 'Summary of Results'!$A:$A, 0)), NA()))</f>
        <v>120</v>
      </c>
      <c r="G81" s="872">
        <f ca="1">IF(OR(ISERROR($B81), $B81 = ""), "", IFERROR(INDEX('Summary of Results'!K:K, MATCH($A81, 'Summary of Results'!$A:$A, 0)), NA()))</f>
        <v>120</v>
      </c>
      <c r="H81" s="872">
        <f ca="1">IF(OR(ISERROR($B81), $B81 = ""), "", IFERROR(INDEX('Summary of Results'!L:L, MATCH($A81, 'Summary of Results'!$A:$A, 0)), NA()))</f>
        <v>120</v>
      </c>
      <c r="I81" s="873">
        <f ca="1">IF(OR(ISERROR($B81), $B81 = ""), "", IFERROR(INDEX('Summary of Results'!M:M, MATCH($A81, 'Summary of Results'!$A:$A, 0)), NA()))</f>
        <v>120</v>
      </c>
      <c r="N81" s="640">
        <v>30</v>
      </c>
      <c r="O81" s="640">
        <v>30</v>
      </c>
      <c r="P81" s="640">
        <v>30</v>
      </c>
      <c r="Q81" s="640">
        <v>30</v>
      </c>
      <c r="R81" s="640">
        <v>30</v>
      </c>
      <c r="S81" s="640">
        <v>30</v>
      </c>
      <c r="T81" s="640">
        <v>30</v>
      </c>
      <c r="U81" s="12"/>
      <c r="V81" s="12"/>
      <c r="W81" s="814">
        <v>26</v>
      </c>
      <c r="X81" s="640">
        <v>28</v>
      </c>
      <c r="Y81" s="640">
        <v>30</v>
      </c>
      <c r="Z81" s="640">
        <v>32</v>
      </c>
      <c r="AA81" s="640">
        <v>34</v>
      </c>
      <c r="AB81" s="640">
        <v>34</v>
      </c>
      <c r="AC81" s="815">
        <v>34</v>
      </c>
      <c r="AD81" s="12"/>
      <c r="AE81" s="12"/>
      <c r="AF81" s="814">
        <v>20</v>
      </c>
      <c r="AG81" s="640">
        <v>20</v>
      </c>
      <c r="AH81" s="640">
        <v>20</v>
      </c>
      <c r="AI81" s="640">
        <v>20</v>
      </c>
      <c r="AJ81" s="640">
        <v>20</v>
      </c>
      <c r="AK81" s="640">
        <v>20</v>
      </c>
      <c r="AL81" s="815">
        <v>20</v>
      </c>
      <c r="AM81" s="12"/>
      <c r="AN81" s="12"/>
      <c r="AO81" s="814">
        <v>18</v>
      </c>
      <c r="AP81" s="640">
        <v>18</v>
      </c>
      <c r="AQ81" s="640">
        <v>18</v>
      </c>
      <c r="AR81" s="640">
        <v>18</v>
      </c>
      <c r="AS81" s="640">
        <v>18</v>
      </c>
      <c r="AT81" s="640">
        <v>18</v>
      </c>
      <c r="AU81" s="815">
        <v>18</v>
      </c>
    </row>
    <row r="82" spans="1:47" ht="20">
      <c r="A82" s="733">
        <f>IF(ISERROR( Dashboard!C133), "", Dashboard!B133)</f>
        <v>7</v>
      </c>
      <c r="B82" s="870" t="str">
        <f>IFERROR(INDEX('Summary of Results'!$B:$B, MATCH(A82, 'Summary of Results'!$A:$A, 0)), "")</f>
        <v>Positive electode areal capacity, mAh/cm²</v>
      </c>
      <c r="C82" s="871">
        <f ca="1">IF(OR(ISERROR($B82), $B82 = ""), "", IFERROR(INDEX('Summary of Results'!G:G, MATCH($A82, 'Summary of Results'!$A:$A, 0)), NA()))</f>
        <v>4.4922253250504989</v>
      </c>
      <c r="D82" s="872">
        <f ca="1">IF(OR(ISERROR($B82), $B82 = ""), "", IFERROR(INDEX('Summary of Results'!H:H, MATCH($A82, 'Summary of Results'!$A:$A, 0)), NA()))</f>
        <v>4.4922253250504989</v>
      </c>
      <c r="E82" s="872">
        <f ca="1">IF(OR(ISERROR($B82), $B82 = ""), "", IFERROR(INDEX('Summary of Results'!I:I, MATCH($A82, 'Summary of Results'!$A:$A, 0)), NA()))</f>
        <v>4.4922253250504989</v>
      </c>
      <c r="F82" s="872">
        <f ca="1">IF(OR(ISERROR($B82), $B82 = ""), "", IFERROR(INDEX('Summary of Results'!J:J, MATCH($A82, 'Summary of Results'!$A:$A, 0)), NA()))</f>
        <v>4.4922253250504989</v>
      </c>
      <c r="G82" s="872">
        <f ca="1">IF(OR(ISERROR($B82), $B82 = ""), "", IFERROR(INDEX('Summary of Results'!K:K, MATCH($A82, 'Summary of Results'!$A:$A, 0)), NA()))</f>
        <v>4.4922253250504989</v>
      </c>
      <c r="H82" s="872">
        <f ca="1">IF(OR(ISERROR($B82), $B82 = ""), "", IFERROR(INDEX('Summary of Results'!L:L, MATCH($A82, 'Summary of Results'!$A:$A, 0)), NA()))</f>
        <v>4.4922253250504989</v>
      </c>
      <c r="I82" s="873">
        <f ca="1">IF(OR(ISERROR($B82), $B82 = ""), "", IFERROR(INDEX('Summary of Results'!M:M, MATCH($A82, 'Summary of Results'!$A:$A, 0)), NA()))</f>
        <v>4.4922253250504989</v>
      </c>
      <c r="N82" s="640">
        <v>1</v>
      </c>
      <c r="O82" s="640">
        <v>1</v>
      </c>
      <c r="P82" s="640">
        <v>1</v>
      </c>
      <c r="Q82" s="640">
        <v>1</v>
      </c>
      <c r="R82" s="640">
        <v>1</v>
      </c>
      <c r="S82" s="640">
        <v>1</v>
      </c>
      <c r="T82" s="640">
        <v>1</v>
      </c>
      <c r="U82" s="12"/>
      <c r="V82" s="12"/>
      <c r="W82" s="814">
        <v>1</v>
      </c>
      <c r="X82" s="640">
        <v>1</v>
      </c>
      <c r="Y82" s="640">
        <v>1</v>
      </c>
      <c r="Z82" s="640">
        <v>1</v>
      </c>
      <c r="AA82" s="640">
        <v>1</v>
      </c>
      <c r="AB82" s="640">
        <v>1</v>
      </c>
      <c r="AC82" s="815">
        <v>1</v>
      </c>
      <c r="AD82" s="12"/>
      <c r="AE82" s="12"/>
      <c r="AF82" s="814">
        <v>4</v>
      </c>
      <c r="AG82" s="640">
        <v>4</v>
      </c>
      <c r="AH82" s="640">
        <v>4</v>
      </c>
      <c r="AI82" s="640">
        <v>4</v>
      </c>
      <c r="AJ82" s="640">
        <v>4</v>
      </c>
      <c r="AK82" s="640">
        <v>4</v>
      </c>
      <c r="AL82" s="815">
        <v>4</v>
      </c>
      <c r="AM82" s="12"/>
      <c r="AN82" s="12"/>
      <c r="AO82" s="814">
        <v>1</v>
      </c>
      <c r="AP82" s="640">
        <v>1</v>
      </c>
      <c r="AQ82" s="640">
        <v>1</v>
      </c>
      <c r="AR82" s="640">
        <v>1</v>
      </c>
      <c r="AS82" s="640">
        <v>1</v>
      </c>
      <c r="AT82" s="640">
        <v>1</v>
      </c>
      <c r="AU82" s="815">
        <v>1</v>
      </c>
    </row>
    <row r="83" spans="1:47" ht="20">
      <c r="A83" s="733">
        <f>IF(ISERROR( Dashboard!C134), "", Dashboard!B134)</f>
        <v>8</v>
      </c>
      <c r="B83" s="870" t="str">
        <f>IFERROR(INDEX('Summary of Results'!$B:$B, MATCH(A83, 'Summary of Results'!$A:$A, 0)), "")</f>
        <v>Negative electrode areal capacity, mAh/cm²</v>
      </c>
      <c r="C83" s="871">
        <f ca="1">IF(OR(ISERROR($B83), $B83 = ""), "", IFERROR(INDEX('Summary of Results'!G:G, MATCH($A83, 'Summary of Results'!$A:$A, 0)), NA()))</f>
        <v>5.1750435744581758</v>
      </c>
      <c r="D83" s="872">
        <f ca="1">IF(OR(ISERROR($B83), $B83 = ""), "", IFERROR(INDEX('Summary of Results'!H:H, MATCH($A83, 'Summary of Results'!$A:$A, 0)), NA()))</f>
        <v>5.1750435744581758</v>
      </c>
      <c r="E83" s="872">
        <f ca="1">IF(OR(ISERROR($B83), $B83 = ""), "", IFERROR(INDEX('Summary of Results'!I:I, MATCH($A83, 'Summary of Results'!$A:$A, 0)), NA()))</f>
        <v>5.1750435744581758</v>
      </c>
      <c r="F83" s="872">
        <f ca="1">IF(OR(ISERROR($B83), $B83 = ""), "", IFERROR(INDEX('Summary of Results'!J:J, MATCH($A83, 'Summary of Results'!$A:$A, 0)), NA()))</f>
        <v>5.1750435744581758</v>
      </c>
      <c r="G83" s="872">
        <f ca="1">IF(OR(ISERROR($B83), $B83 = ""), "", IFERROR(INDEX('Summary of Results'!K:K, MATCH($A83, 'Summary of Results'!$A:$A, 0)), NA()))</f>
        <v>5.1750435744581758</v>
      </c>
      <c r="H83" s="872">
        <f ca="1">IF(OR(ISERROR($B83), $B83 = ""), "", IFERROR(INDEX('Summary of Results'!L:L, MATCH($A83, 'Summary of Results'!$A:$A, 0)), NA()))</f>
        <v>5.1750435744581758</v>
      </c>
      <c r="I83" s="873">
        <f ca="1">IF(OR(ISERROR($B83), $B83 = ""), "", IFERROR(INDEX('Summary of Results'!M:M, MATCH($A83, 'Summary of Results'!$A:$A, 0)), NA()))</f>
        <v>5.1750435744581758</v>
      </c>
      <c r="N83" s="641">
        <v>1</v>
      </c>
      <c r="O83" s="641">
        <v>1</v>
      </c>
      <c r="P83" s="641">
        <v>1</v>
      </c>
      <c r="Q83" s="641">
        <v>1</v>
      </c>
      <c r="R83" s="641">
        <v>1</v>
      </c>
      <c r="S83" s="641">
        <v>1</v>
      </c>
      <c r="T83" s="641">
        <v>1</v>
      </c>
      <c r="U83" s="12"/>
      <c r="V83" s="12"/>
      <c r="W83" s="812">
        <v>1</v>
      </c>
      <c r="X83" s="641">
        <v>1</v>
      </c>
      <c r="Y83" s="641">
        <v>1</v>
      </c>
      <c r="Z83" s="641">
        <v>1</v>
      </c>
      <c r="AA83" s="641">
        <v>1</v>
      </c>
      <c r="AB83" s="641">
        <v>1</v>
      </c>
      <c r="AC83" s="813">
        <v>1</v>
      </c>
      <c r="AD83" s="12"/>
      <c r="AE83" s="12"/>
      <c r="AF83" s="812">
        <v>5</v>
      </c>
      <c r="AG83" s="641">
        <v>5</v>
      </c>
      <c r="AH83" s="641">
        <v>5</v>
      </c>
      <c r="AI83" s="641">
        <v>5</v>
      </c>
      <c r="AJ83" s="641">
        <v>5</v>
      </c>
      <c r="AK83" s="641">
        <v>5</v>
      </c>
      <c r="AL83" s="813">
        <v>5</v>
      </c>
      <c r="AM83" s="12"/>
      <c r="AN83" s="12"/>
      <c r="AO83" s="812">
        <v>1</v>
      </c>
      <c r="AP83" s="641">
        <v>1</v>
      </c>
      <c r="AQ83" s="641">
        <v>1</v>
      </c>
      <c r="AR83" s="641">
        <v>1</v>
      </c>
      <c r="AS83" s="641">
        <v>1</v>
      </c>
      <c r="AT83" s="641">
        <v>1</v>
      </c>
      <c r="AU83" s="813">
        <v>1</v>
      </c>
    </row>
    <row r="84" spans="1:47" ht="20">
      <c r="A84" s="733">
        <f>IF(ISERROR( Dashboard!C135), "", Dashboard!B135)</f>
        <v>9</v>
      </c>
      <c r="B84" s="870" t="str">
        <f>IFERROR(INDEX('Summary of Results'!$B:$B, MATCH(A84, 'Summary of Results'!$A:$A, 0)), "")</f>
        <v>Cell capacity, Ah</v>
      </c>
      <c r="C84" s="871">
        <f ca="1">IF(OR(ISERROR($B84), $B84 = ""), "", IFERROR(INDEX('Summary of Results'!G:G, MATCH($A84, 'Summary of Results'!$A:$A, 0)), NA()))</f>
        <v>77.35058609741661</v>
      </c>
      <c r="D84" s="872">
        <f ca="1">IF(OR(ISERROR($B84), $B84 = ""), "", IFERROR(INDEX('Summary of Results'!H:H, MATCH($A84, 'Summary of Results'!$A:$A, 0)), NA()))</f>
        <v>77.35058609741661</v>
      </c>
      <c r="E84" s="872">
        <f ca="1">IF(OR(ISERROR($B84), $B84 = ""), "", IFERROR(INDEX('Summary of Results'!I:I, MATCH($A84, 'Summary of Results'!$A:$A, 0)), NA()))</f>
        <v>77.35058609741661</v>
      </c>
      <c r="F84" s="872">
        <f ca="1">IF(OR(ISERROR($B84), $B84 = ""), "", IFERROR(INDEX('Summary of Results'!J:J, MATCH($A84, 'Summary of Results'!$A:$A, 0)), NA()))</f>
        <v>77.35058609741661</v>
      </c>
      <c r="G84" s="872">
        <f ca="1">IF(OR(ISERROR($B84), $B84 = ""), "", IFERROR(INDEX('Summary of Results'!K:K, MATCH($A84, 'Summary of Results'!$A:$A, 0)), NA()))</f>
        <v>77.35058609741661</v>
      </c>
      <c r="H84" s="872">
        <f ca="1">IF(OR(ISERROR($B84), $B84 = ""), "", IFERROR(INDEX('Summary of Results'!L:L, MATCH($A84, 'Summary of Results'!$A:$A, 0)), NA()))</f>
        <v>77.35058609741661</v>
      </c>
      <c r="I84" s="873">
        <f ca="1">IF(OR(ISERROR($B84), $B84 = ""), "", IFERROR(INDEX('Summary of Results'!M:M, MATCH($A84, 'Summary of Results'!$A:$A, 0)), NA()))</f>
        <v>77.35058609741661</v>
      </c>
      <c r="N84" s="641">
        <v>1</v>
      </c>
      <c r="O84" s="641">
        <v>1</v>
      </c>
      <c r="P84" s="641">
        <v>1</v>
      </c>
      <c r="Q84" s="641">
        <v>1</v>
      </c>
      <c r="R84" s="641">
        <v>1</v>
      </c>
      <c r="S84" s="641">
        <v>1</v>
      </c>
      <c r="T84" s="641">
        <v>1</v>
      </c>
      <c r="U84" s="12"/>
      <c r="V84" s="12"/>
      <c r="W84" s="812">
        <v>1</v>
      </c>
      <c r="X84" s="641">
        <v>1</v>
      </c>
      <c r="Y84" s="641">
        <v>1</v>
      </c>
      <c r="Z84" s="641">
        <v>1</v>
      </c>
      <c r="AA84" s="641">
        <v>1</v>
      </c>
      <c r="AB84" s="641">
        <v>1</v>
      </c>
      <c r="AC84" s="813">
        <v>1</v>
      </c>
      <c r="AD84" s="12"/>
      <c r="AE84" s="12"/>
      <c r="AF84" s="812">
        <v>4</v>
      </c>
      <c r="AG84" s="641">
        <v>4</v>
      </c>
      <c r="AH84" s="641">
        <v>4</v>
      </c>
      <c r="AI84" s="641">
        <v>4</v>
      </c>
      <c r="AJ84" s="641">
        <v>4</v>
      </c>
      <c r="AK84" s="641">
        <v>4</v>
      </c>
      <c r="AL84" s="813">
        <v>4</v>
      </c>
      <c r="AM84" s="12"/>
      <c r="AN84" s="12"/>
      <c r="AO84" s="812">
        <v>1</v>
      </c>
      <c r="AP84" s="641">
        <v>1</v>
      </c>
      <c r="AQ84" s="641">
        <v>1</v>
      </c>
      <c r="AR84" s="641">
        <v>1</v>
      </c>
      <c r="AS84" s="641">
        <v>1</v>
      </c>
      <c r="AT84" s="641">
        <v>1</v>
      </c>
      <c r="AU84" s="813">
        <v>1</v>
      </c>
    </row>
    <row r="85" spans="1:47" ht="20">
      <c r="A85" s="733">
        <f>IF(ISERROR( Dashboard!C136), "", Dashboard!B136)</f>
        <v>10</v>
      </c>
      <c r="B85" s="870" t="str">
        <f>IFERROR(INDEX('Summary of Results'!$B:$B, MATCH(A85, 'Summary of Results'!$A:$A, 0)), "")</f>
        <v>Module mass, kg</v>
      </c>
      <c r="C85" s="871">
        <f ca="1">IF(OR(ISERROR($B85), $B85 = ""), "", IFERROR(INDEX('Summary of Results'!G:G, MATCH($A85, 'Summary of Results'!$A:$A, 0)), NA()))</f>
        <v>22.70184826660379</v>
      </c>
      <c r="D85" s="872">
        <f ca="1">IF(OR(ISERROR($B85), $B85 = ""), "", IFERROR(INDEX('Summary of Results'!H:H, MATCH($A85, 'Summary of Results'!$A:$A, 0)), NA()))</f>
        <v>22.70184826660379</v>
      </c>
      <c r="E85" s="872">
        <f ca="1">IF(OR(ISERROR($B85), $B85 = ""), "", IFERROR(INDEX('Summary of Results'!I:I, MATCH($A85, 'Summary of Results'!$A:$A, 0)), NA()))</f>
        <v>22.70184826660379</v>
      </c>
      <c r="F85" s="872">
        <f ca="1">IF(OR(ISERROR($B85), $B85 = ""), "", IFERROR(INDEX('Summary of Results'!J:J, MATCH($A85, 'Summary of Results'!$A:$A, 0)), NA()))</f>
        <v>22.70184826660379</v>
      </c>
      <c r="G85" s="872">
        <f ca="1">IF(OR(ISERROR($B85), $B85 = ""), "", IFERROR(INDEX('Summary of Results'!K:K, MATCH($A85, 'Summary of Results'!$A:$A, 0)), NA()))</f>
        <v>22.70184826660379</v>
      </c>
      <c r="H85" s="872">
        <f ca="1">IF(OR(ISERROR($B85), $B85 = ""), "", IFERROR(INDEX('Summary of Results'!L:L, MATCH($A85, 'Summary of Results'!$A:$A, 0)), NA()))</f>
        <v>22.70184826660379</v>
      </c>
      <c r="I85" s="873">
        <f ca="1">IF(OR(ISERROR($B85), $B85 = ""), "", IFERROR(INDEX('Summary of Results'!M:M, MATCH($A85, 'Summary of Results'!$A:$A, 0)), NA()))</f>
        <v>22.70184826660379</v>
      </c>
      <c r="N85" s="641">
        <v>1</v>
      </c>
      <c r="O85" s="641">
        <v>1</v>
      </c>
      <c r="P85" s="641">
        <v>1</v>
      </c>
      <c r="Q85" s="641">
        <v>1</v>
      </c>
      <c r="R85" s="641">
        <v>1</v>
      </c>
      <c r="S85" s="641">
        <v>1</v>
      </c>
      <c r="T85" s="641">
        <v>1</v>
      </c>
      <c r="U85" s="12"/>
      <c r="V85" s="12"/>
      <c r="W85" s="812">
        <v>1</v>
      </c>
      <c r="X85" s="641">
        <v>1</v>
      </c>
      <c r="Y85" s="641">
        <v>1</v>
      </c>
      <c r="Z85" s="641">
        <v>1</v>
      </c>
      <c r="AA85" s="641">
        <v>1</v>
      </c>
      <c r="AB85" s="641">
        <v>1</v>
      </c>
      <c r="AC85" s="813">
        <v>1</v>
      </c>
      <c r="AD85" s="12"/>
      <c r="AE85" s="12"/>
      <c r="AF85" s="812">
        <v>1</v>
      </c>
      <c r="AG85" s="641">
        <v>1</v>
      </c>
      <c r="AH85" s="641">
        <v>1</v>
      </c>
      <c r="AI85" s="641">
        <v>1</v>
      </c>
      <c r="AJ85" s="641">
        <v>1</v>
      </c>
      <c r="AK85" s="641">
        <v>1</v>
      </c>
      <c r="AL85" s="813">
        <v>1</v>
      </c>
      <c r="AM85" s="12"/>
      <c r="AN85" s="12"/>
      <c r="AO85" s="812">
        <v>1</v>
      </c>
      <c r="AP85" s="641">
        <v>1</v>
      </c>
      <c r="AQ85" s="641">
        <v>1</v>
      </c>
      <c r="AR85" s="641">
        <v>1</v>
      </c>
      <c r="AS85" s="641">
        <v>1</v>
      </c>
      <c r="AT85" s="641">
        <v>1</v>
      </c>
      <c r="AU85" s="813">
        <v>1</v>
      </c>
    </row>
    <row r="86" spans="1:47" ht="20">
      <c r="A86" s="733">
        <f>IF(ISERROR( Dashboard!C137), "", Dashboard!B137)</f>
        <v>11</v>
      </c>
      <c r="B86" s="870" t="str">
        <f>IFERROR(INDEX('Summary of Results'!$B:$B, MATCH(A86, 'Summary of Results'!$A:$A, 0)), "")</f>
        <v>Number of cells per pack</v>
      </c>
      <c r="C86" s="871">
        <f>IF(OR(ISERROR($B86), $B86 = ""), "", IFERROR(INDEX('Summary of Results'!G:G, MATCH($A86, 'Summary of Results'!$A:$A, 0)), NA()))</f>
        <v>400</v>
      </c>
      <c r="D86" s="872">
        <f>IF(OR(ISERROR($B86), $B86 = ""), "", IFERROR(INDEX('Summary of Results'!H:H, MATCH($A86, 'Summary of Results'!$A:$A, 0)), NA()))</f>
        <v>400</v>
      </c>
      <c r="E86" s="872">
        <f>IF(OR(ISERROR($B86), $B86 = ""), "", IFERROR(INDEX('Summary of Results'!I:I, MATCH($A86, 'Summary of Results'!$A:$A, 0)), NA()))</f>
        <v>400</v>
      </c>
      <c r="F86" s="872">
        <f>IF(OR(ISERROR($B86), $B86 = ""), "", IFERROR(INDEX('Summary of Results'!J:J, MATCH($A86, 'Summary of Results'!$A:$A, 0)), NA()))</f>
        <v>400</v>
      </c>
      <c r="G86" s="872">
        <f>IF(OR(ISERROR($B86), $B86 = ""), "", IFERROR(INDEX('Summary of Results'!K:K, MATCH($A86, 'Summary of Results'!$A:$A, 0)), NA()))</f>
        <v>400</v>
      </c>
      <c r="H86" s="872">
        <f>IF(OR(ISERROR($B86), $B86 = ""), "", IFERROR(INDEX('Summary of Results'!L:L, MATCH($A86, 'Summary of Results'!$A:$A, 0)), NA()))</f>
        <v>400</v>
      </c>
      <c r="I86" s="873">
        <f>IF(OR(ISERROR($B86), $B86 = ""), "", IFERROR(INDEX('Summary of Results'!M:M, MATCH($A86, 'Summary of Results'!$A:$A, 0)), NA()))</f>
        <v>400</v>
      </c>
      <c r="N86" s="642">
        <v>100000</v>
      </c>
      <c r="O86" s="642">
        <v>100000</v>
      </c>
      <c r="P86" s="642">
        <v>100000</v>
      </c>
      <c r="Q86" s="642">
        <v>100000</v>
      </c>
      <c r="R86" s="642">
        <v>100000</v>
      </c>
      <c r="S86" s="642">
        <v>100000</v>
      </c>
      <c r="T86" s="642">
        <v>100000</v>
      </c>
      <c r="U86" s="12"/>
      <c r="V86" s="12"/>
      <c r="W86" s="816">
        <v>100000</v>
      </c>
      <c r="X86" s="642">
        <v>100000</v>
      </c>
      <c r="Y86" s="642">
        <v>100000</v>
      </c>
      <c r="Z86" s="642">
        <v>100000</v>
      </c>
      <c r="AA86" s="642">
        <v>100000</v>
      </c>
      <c r="AB86" s="642">
        <v>100000</v>
      </c>
      <c r="AC86" s="817">
        <v>100000</v>
      </c>
      <c r="AD86" s="12"/>
      <c r="AE86" s="12"/>
      <c r="AF86" s="816">
        <v>100000</v>
      </c>
      <c r="AG86" s="642">
        <v>100000</v>
      </c>
      <c r="AH86" s="642">
        <v>100000</v>
      </c>
      <c r="AI86" s="642">
        <v>100000</v>
      </c>
      <c r="AJ86" s="642">
        <v>100000</v>
      </c>
      <c r="AK86" s="642">
        <v>100000</v>
      </c>
      <c r="AL86" s="817">
        <v>100000</v>
      </c>
      <c r="AM86" s="12"/>
      <c r="AN86" s="12"/>
      <c r="AO86" s="816">
        <v>80000</v>
      </c>
      <c r="AP86" s="642">
        <v>90000</v>
      </c>
      <c r="AQ86" s="642">
        <v>100000</v>
      </c>
      <c r="AR86" s="642">
        <v>110000</v>
      </c>
      <c r="AS86" s="642">
        <v>120000</v>
      </c>
      <c r="AT86" s="642">
        <v>130000</v>
      </c>
      <c r="AU86" s="817">
        <v>140000</v>
      </c>
    </row>
    <row r="87" spans="1:47" ht="20">
      <c r="A87" s="733">
        <f>IF(ISERROR( Dashboard!C138), "", Dashboard!B138)</f>
        <v>12</v>
      </c>
      <c r="B87" s="870" t="str">
        <f>IFERROR(INDEX('Summary of Results'!$B:$B, MATCH(A87, 'Summary of Results'!$A:$A, 0)), "")</f>
        <v>Nominal battery system voltage (OCV at 50% SOC), V</v>
      </c>
      <c r="C87" s="871">
        <f>IF(OR(ISERROR($B87), $B87 = ""), "", IFERROR(INDEX('Summary of Results'!G:G, MATCH($A87, 'Summary of Results'!$A:$A, 0)), NA()))</f>
        <v>328.2</v>
      </c>
      <c r="D87" s="872">
        <f>IF(OR(ISERROR($B87), $B87 = ""), "", IFERROR(INDEX('Summary of Results'!H:H, MATCH($A87, 'Summary of Results'!$A:$A, 0)), NA()))</f>
        <v>328.2</v>
      </c>
      <c r="E87" s="872">
        <f>IF(OR(ISERROR($B87), $B87 = ""), "", IFERROR(INDEX('Summary of Results'!I:I, MATCH($A87, 'Summary of Results'!$A:$A, 0)), NA()))</f>
        <v>328.2</v>
      </c>
      <c r="F87" s="872">
        <f>IF(OR(ISERROR($B87), $B87 = ""), "", IFERROR(INDEX('Summary of Results'!J:J, MATCH($A87, 'Summary of Results'!$A:$A, 0)), NA()))</f>
        <v>328.2</v>
      </c>
      <c r="G87" s="872">
        <f>IF(OR(ISERROR($B87), $B87 = ""), "", IFERROR(INDEX('Summary of Results'!K:K, MATCH($A87, 'Summary of Results'!$A:$A, 0)), NA()))</f>
        <v>328.2</v>
      </c>
      <c r="H87" s="872">
        <f>IF(OR(ISERROR($B87), $B87 = ""), "", IFERROR(INDEX('Summary of Results'!L:L, MATCH($A87, 'Summary of Results'!$A:$A, 0)), NA()))</f>
        <v>328.2</v>
      </c>
      <c r="I87" s="873">
        <f>IF(OR(ISERROR($B87), $B87 = ""), "", IFERROR(INDEX('Summary of Results'!M:M, MATCH($A87, 'Summary of Results'!$A:$A, 0)), NA()))</f>
        <v>328.2</v>
      </c>
      <c r="N87" s="644">
        <v>250</v>
      </c>
      <c r="O87" s="644">
        <v>250</v>
      </c>
      <c r="P87" s="644">
        <v>250</v>
      </c>
      <c r="Q87" s="644">
        <v>250</v>
      </c>
      <c r="R87" s="644">
        <v>250</v>
      </c>
      <c r="S87" s="644">
        <v>250</v>
      </c>
      <c r="T87" s="644">
        <v>250</v>
      </c>
      <c r="U87" s="12"/>
      <c r="V87" s="12"/>
      <c r="W87" s="818">
        <v>250</v>
      </c>
      <c r="X87" s="644">
        <v>250</v>
      </c>
      <c r="Y87" s="644">
        <v>250</v>
      </c>
      <c r="Z87" s="644">
        <v>250</v>
      </c>
      <c r="AA87" s="644">
        <v>250</v>
      </c>
      <c r="AB87" s="644">
        <v>250</v>
      </c>
      <c r="AC87" s="819">
        <v>250</v>
      </c>
      <c r="AD87" s="12"/>
      <c r="AE87" s="12"/>
      <c r="AF87" s="818">
        <v>250</v>
      </c>
      <c r="AG87" s="644">
        <v>250</v>
      </c>
      <c r="AH87" s="644">
        <v>250</v>
      </c>
      <c r="AI87" s="644">
        <v>250</v>
      </c>
      <c r="AJ87" s="644">
        <v>200</v>
      </c>
      <c r="AK87" s="644">
        <v>250</v>
      </c>
      <c r="AL87" s="819">
        <v>250</v>
      </c>
      <c r="AM87" s="12"/>
      <c r="AN87" s="12"/>
      <c r="AO87" s="818">
        <v>250</v>
      </c>
      <c r="AP87" s="644">
        <v>250</v>
      </c>
      <c r="AQ87" s="644">
        <v>250</v>
      </c>
      <c r="AR87" s="644">
        <v>250</v>
      </c>
      <c r="AS87" s="644">
        <v>250</v>
      </c>
      <c r="AT87" s="644">
        <v>250</v>
      </c>
      <c r="AU87" s="819">
        <v>250</v>
      </c>
    </row>
    <row r="88" spans="1:47" ht="20">
      <c r="A88" s="733">
        <f>IF(ISERROR( Dashboard!C139), "", Dashboard!B139)</f>
        <v>13</v>
      </c>
      <c r="B88" s="870" t="str">
        <f>IFERROR(INDEX('Summary of Results'!$B:$B, MATCH(A88, 'Summary of Results'!$A:$A, 0)), "")</f>
        <v>Cost of pack to OEM, $</v>
      </c>
      <c r="C88" s="871">
        <f ca="1">IF(OR(ISERROR($B88), $B88 = ""), "", IFERROR(INDEX('Summary of Results'!G:G, MATCH($A88, 'Summary of Results'!$A:$A, 0)), NA()))</f>
        <v>26944.193195629876</v>
      </c>
      <c r="D88" s="872">
        <f ca="1">IF(OR(ISERROR($B88), $B88 = ""), "", IFERROR(INDEX('Summary of Results'!H:H, MATCH($A88, 'Summary of Results'!$A:$A, 0)), NA()))</f>
        <v>18422.624047093741</v>
      </c>
      <c r="E88" s="872">
        <f ca="1">IF(OR(ISERROR($B88), $B88 = ""), "", IFERROR(INDEX('Summary of Results'!I:I, MATCH($A88, 'Summary of Results'!$A:$A, 0)), NA()))</f>
        <v>17824.804550803652</v>
      </c>
      <c r="F88" s="872">
        <f ca="1">IF(OR(ISERROR($B88), $B88 = ""), "", IFERROR(INDEX('Summary of Results'!J:J, MATCH($A88, 'Summary of Results'!$A:$A, 0)), NA()))</f>
        <v>17446.415734650443</v>
      </c>
      <c r="G88" s="872">
        <f ca="1">IF(OR(ISERROR($B88), $B88 = ""), "", IFERROR(INDEX('Summary of Results'!K:K, MATCH($A88, 'Summary of Results'!$A:$A, 0)), NA()))</f>
        <v>17176.087098513712</v>
      </c>
      <c r="H88" s="872">
        <f ca="1">IF(OR(ISERROR($B88), $B88 = ""), "", IFERROR(INDEX('Summary of Results'!L:L, MATCH($A88, 'Summary of Results'!$A:$A, 0)), NA()))</f>
        <v>16730.918831208743</v>
      </c>
      <c r="I88" s="873">
        <f ca="1">IF(OR(ISERROR($B88), $B88 = ""), "", IFERROR(INDEX('Summary of Results'!M:M, MATCH($A88, 'Summary of Results'!$A:$A, 0)), NA()))</f>
        <v>16447.117072807363</v>
      </c>
      <c r="N88" s="809"/>
      <c r="O88" s="809"/>
      <c r="P88" s="809"/>
      <c r="Q88" s="809"/>
      <c r="R88" s="809"/>
      <c r="S88" s="809"/>
      <c r="T88" s="809"/>
      <c r="U88" s="12"/>
      <c r="V88" s="12"/>
      <c r="W88" s="820"/>
      <c r="X88" s="809"/>
      <c r="Y88" s="809"/>
      <c r="Z88" s="809"/>
      <c r="AA88" s="809"/>
      <c r="AB88" s="809"/>
      <c r="AC88" s="821"/>
      <c r="AD88" s="12"/>
      <c r="AE88" s="12"/>
      <c r="AF88" s="820"/>
      <c r="AG88" s="809"/>
      <c r="AH88" s="809"/>
      <c r="AI88" s="809"/>
      <c r="AJ88" s="809"/>
      <c r="AK88" s="809"/>
      <c r="AL88" s="821"/>
      <c r="AM88" s="12"/>
      <c r="AN88" s="12"/>
      <c r="AO88" s="820"/>
      <c r="AP88" s="809"/>
      <c r="AQ88" s="809"/>
      <c r="AR88" s="809"/>
      <c r="AS88" s="809"/>
      <c r="AT88" s="809"/>
      <c r="AU88" s="821"/>
    </row>
    <row r="89" spans="1:47" ht="20">
      <c r="A89" s="733">
        <f>IF(ISERROR( Dashboard!C140), "", Dashboard!B140)</f>
        <v>14</v>
      </c>
      <c r="B89" s="870" t="str">
        <f>IFERROR(INDEX('Summary of Results'!$B:$B, MATCH(A89, 'Summary of Results'!$A:$A, 0)), "")</f>
        <v>Pack total mass, kg</v>
      </c>
      <c r="C89" s="871">
        <f ca="1">IF(OR(ISERROR($B89), $B89 = ""), "", IFERROR(INDEX('Summary of Results'!G:G, MATCH($A89, 'Summary of Results'!$A:$A, 0)), NA()))</f>
        <v>544.79122628184587</v>
      </c>
      <c r="D89" s="872">
        <f ca="1">IF(OR(ISERROR($B89), $B89 = ""), "", IFERROR(INDEX('Summary of Results'!H:H, MATCH($A89, 'Summary of Results'!$A:$A, 0)), NA()))</f>
        <v>544.79122628184587</v>
      </c>
      <c r="E89" s="872">
        <f ca="1">IF(OR(ISERROR($B89), $B89 = ""), "", IFERROR(INDEX('Summary of Results'!I:I, MATCH($A89, 'Summary of Results'!$A:$A, 0)), NA()))</f>
        <v>544.79122628184587</v>
      </c>
      <c r="F89" s="872">
        <f ca="1">IF(OR(ISERROR($B89), $B89 = ""), "", IFERROR(INDEX('Summary of Results'!J:J, MATCH($A89, 'Summary of Results'!$A:$A, 0)), NA()))</f>
        <v>544.79122628184587</v>
      </c>
      <c r="G89" s="872">
        <f ca="1">IF(OR(ISERROR($B89), $B89 = ""), "", IFERROR(INDEX('Summary of Results'!K:K, MATCH($A89, 'Summary of Results'!$A:$A, 0)), NA()))</f>
        <v>544.79122628184587</v>
      </c>
      <c r="H89" s="872">
        <f ca="1">IF(OR(ISERROR($B89), $B89 = ""), "", IFERROR(INDEX('Summary of Results'!L:L, MATCH($A89, 'Summary of Results'!$A:$A, 0)), NA()))</f>
        <v>544.79122628184587</v>
      </c>
      <c r="I89" s="873">
        <f ca="1">IF(OR(ISERROR($B89), $B89 = ""), "", IFERROR(INDEX('Summary of Results'!M:M, MATCH($A89, 'Summary of Results'!$A:$A, 0)), NA()))</f>
        <v>544.79122628184587</v>
      </c>
      <c r="N89" s="643"/>
      <c r="O89" s="643"/>
      <c r="P89" s="643"/>
      <c r="Q89" s="643"/>
      <c r="R89" s="643"/>
      <c r="S89" s="643"/>
      <c r="T89" s="643"/>
      <c r="U89" s="12"/>
      <c r="V89" s="12"/>
      <c r="W89" s="822"/>
      <c r="X89" s="643"/>
      <c r="Y89" s="643"/>
      <c r="Z89" s="643"/>
      <c r="AA89" s="643"/>
      <c r="AB89" s="643"/>
      <c r="AC89" s="823"/>
      <c r="AD89" s="12"/>
      <c r="AE89" s="12"/>
      <c r="AF89" s="822"/>
      <c r="AG89" s="643"/>
      <c r="AH89" s="643"/>
      <c r="AI89" s="643"/>
      <c r="AJ89" s="643"/>
      <c r="AK89" s="643"/>
      <c r="AL89" s="823"/>
      <c r="AM89" s="12"/>
      <c r="AN89" s="12"/>
      <c r="AO89" s="822"/>
      <c r="AP89" s="643"/>
      <c r="AQ89" s="643"/>
      <c r="AR89" s="643"/>
      <c r="AS89" s="643"/>
      <c r="AT89" s="643"/>
      <c r="AU89" s="823"/>
    </row>
    <row r="90" spans="1:47" ht="20">
      <c r="A90" s="733">
        <f>IF(ISERROR( Dashboard!C141), "", Dashboard!B141)</f>
        <v>15</v>
      </c>
      <c r="B90" s="870" t="str">
        <f>IFERROR(INDEX('Summary of Results'!$B:$B, MATCH(A90, 'Summary of Results'!$A:$A, 0)), "")</f>
        <v>Pack volume, L</v>
      </c>
      <c r="C90" s="871">
        <f ca="1">IF(OR(ISERROR($B90), $B90 = ""), "", IFERROR(INDEX('Summary of Results'!G:G, MATCH($A90, 'Summary of Results'!$A:$A, 0)), NA()))</f>
        <v>290.66291258075501</v>
      </c>
      <c r="D90" s="872">
        <f ca="1">IF(OR(ISERROR($B90), $B90 = ""), "", IFERROR(INDEX('Summary of Results'!H:H, MATCH($A90, 'Summary of Results'!$A:$A, 0)), NA()))</f>
        <v>290.66291258075501</v>
      </c>
      <c r="E90" s="872">
        <f ca="1">IF(OR(ISERROR($B90), $B90 = ""), "", IFERROR(INDEX('Summary of Results'!I:I, MATCH($A90, 'Summary of Results'!$A:$A, 0)), NA()))</f>
        <v>290.66291258075501</v>
      </c>
      <c r="F90" s="872">
        <f ca="1">IF(OR(ISERROR($B90), $B90 = ""), "", IFERROR(INDEX('Summary of Results'!J:J, MATCH($A90, 'Summary of Results'!$A:$A, 0)), NA()))</f>
        <v>290.66291258075501</v>
      </c>
      <c r="G90" s="872">
        <f ca="1">IF(OR(ISERROR($B90), $B90 = ""), "", IFERROR(INDEX('Summary of Results'!K:K, MATCH($A90, 'Summary of Results'!$A:$A, 0)), NA()))</f>
        <v>290.66291258075501</v>
      </c>
      <c r="H90" s="872">
        <f ca="1">IF(OR(ISERROR($B90), $B90 = ""), "", IFERROR(INDEX('Summary of Results'!L:L, MATCH($A90, 'Summary of Results'!$A:$A, 0)), NA()))</f>
        <v>290.66291258075501</v>
      </c>
      <c r="I90" s="873">
        <f ca="1">IF(OR(ISERROR($B90), $B90 = ""), "", IFERROR(INDEX('Summary of Results'!M:M, MATCH($A90, 'Summary of Results'!$A:$A, 0)), NA()))</f>
        <v>290.66291258075501</v>
      </c>
      <c r="N90" s="645">
        <v>5</v>
      </c>
      <c r="O90" s="645">
        <v>4.6875</v>
      </c>
      <c r="P90" s="645">
        <v>4.4117647058823533</v>
      </c>
      <c r="Q90" s="645">
        <v>4.166666666666667</v>
      </c>
      <c r="R90" s="645">
        <v>3.9473684210526314</v>
      </c>
      <c r="S90" s="645">
        <v>3.75</v>
      </c>
      <c r="T90" s="645">
        <v>3.5714285714285716</v>
      </c>
      <c r="U90" s="12"/>
      <c r="V90" s="12"/>
      <c r="W90" s="824"/>
      <c r="X90" s="645"/>
      <c r="Y90" s="645"/>
      <c r="Z90" s="645"/>
      <c r="AA90" s="645"/>
      <c r="AB90" s="645"/>
      <c r="AC90" s="825"/>
      <c r="AD90" s="12"/>
      <c r="AE90" s="12"/>
      <c r="AF90" s="824">
        <v>94.12</v>
      </c>
      <c r="AG90" s="645">
        <v>94.12</v>
      </c>
      <c r="AH90" s="645">
        <v>94.12</v>
      </c>
      <c r="AI90" s="645">
        <v>94.12</v>
      </c>
      <c r="AJ90" s="645">
        <v>94.12</v>
      </c>
      <c r="AK90" s="645">
        <v>94.12</v>
      </c>
      <c r="AL90" s="825">
        <v>94.12</v>
      </c>
      <c r="AM90" s="12"/>
      <c r="AN90" s="12"/>
      <c r="AO90" s="824">
        <v>1.5</v>
      </c>
      <c r="AP90" s="645">
        <v>1.5</v>
      </c>
      <c r="AQ90" s="645">
        <v>1.5</v>
      </c>
      <c r="AR90" s="645">
        <v>1.5</v>
      </c>
      <c r="AS90" s="645">
        <v>1.5</v>
      </c>
      <c r="AT90" s="645">
        <v>1.5</v>
      </c>
      <c r="AU90" s="825">
        <v>1.5</v>
      </c>
    </row>
    <row r="91" spans="1:47" ht="20">
      <c r="A91" s="733">
        <f>IF(ISERROR( Dashboard!C142), "", Dashboard!B142)</f>
        <v>16</v>
      </c>
      <c r="B91" s="870" t="str">
        <f>IFERROR(INDEX('Summary of Results'!$B:$B, MATCH(A91, 'Summary of Results'!$A:$A, 0)), "")</f>
        <v>Total cost of cells, $/kWh</v>
      </c>
      <c r="C91" s="871">
        <f ca="1">IF(OR(ISERROR($B91), $B91 = ""), "", IFERROR(INDEX('Summary of Results'!G:G, MATCH($A91, 'Summary of Results'!$A:$A, 0)), NA()))</f>
        <v>228.86932730232795</v>
      </c>
      <c r="D91" s="872">
        <f ca="1">IF(OR(ISERROR($B91), $B91 = ""), "", IFERROR(INDEX('Summary of Results'!H:H, MATCH($A91, 'Summary of Results'!$A:$A, 0)), NA()))</f>
        <v>156.91568700273311</v>
      </c>
      <c r="E91" s="872">
        <f ca="1">IF(OR(ISERROR($B91), $B91 = ""), "", IFERROR(INDEX('Summary of Results'!I:I, MATCH($A91, 'Summary of Results'!$A:$A, 0)), NA()))</f>
        <v>151.85139001554074</v>
      </c>
      <c r="F91" s="872">
        <f ca="1">IF(OR(ISERROR($B91), $B91 = ""), "", IFERROR(INDEX('Summary of Results'!J:J, MATCH($A91, 'Summary of Results'!$A:$A, 0)), NA()))</f>
        <v>148.64416415570335</v>
      </c>
      <c r="G91" s="872">
        <f ca="1">IF(OR(ISERROR($B91), $B91 = ""), "", IFERROR(INDEX('Summary of Results'!K:K, MATCH($A91, 'Summary of Results'!$A:$A, 0)), NA()))</f>
        <v>146.35198714208383</v>
      </c>
      <c r="H91" s="872">
        <f ca="1">IF(OR(ISERROR($B91), $B91 = ""), "", IFERROR(INDEX('Summary of Results'!L:L, MATCH($A91, 'Summary of Results'!$A:$A, 0)), NA()))</f>
        <v>142.5757319783832</v>
      </c>
      <c r="I91" s="873">
        <f ca="1">IF(OR(ISERROR($B91), $B91 = ""), "", IFERROR(INDEX('Summary of Results'!M:M, MATCH($A91, 'Summary of Results'!$A:$A, 0)), NA()))</f>
        <v>140.16732228862736</v>
      </c>
      <c r="N91" s="644"/>
      <c r="O91" s="644"/>
      <c r="P91" s="644"/>
      <c r="Q91" s="644"/>
      <c r="R91" s="644"/>
      <c r="S91" s="644"/>
      <c r="T91" s="644"/>
      <c r="U91" s="12"/>
      <c r="V91" s="12"/>
      <c r="W91" s="818">
        <v>20</v>
      </c>
      <c r="X91" s="644">
        <v>20</v>
      </c>
      <c r="Y91" s="644">
        <v>20</v>
      </c>
      <c r="Z91" s="644">
        <v>20</v>
      </c>
      <c r="AA91" s="644">
        <v>20</v>
      </c>
      <c r="AB91" s="644">
        <v>22</v>
      </c>
      <c r="AC91" s="819">
        <v>25</v>
      </c>
      <c r="AD91" s="12"/>
      <c r="AE91" s="12"/>
      <c r="AF91" s="818"/>
      <c r="AG91" s="644"/>
      <c r="AH91" s="644"/>
      <c r="AI91" s="644"/>
      <c r="AJ91" s="644"/>
      <c r="AK91" s="644"/>
      <c r="AL91" s="819"/>
      <c r="AM91" s="12"/>
      <c r="AN91" s="12"/>
      <c r="AO91" s="818"/>
      <c r="AP91" s="644"/>
      <c r="AQ91" s="644"/>
      <c r="AR91" s="644"/>
      <c r="AS91" s="644"/>
      <c r="AT91" s="644"/>
      <c r="AU91" s="819"/>
    </row>
    <row r="92" spans="1:47" ht="20">
      <c r="A92" s="733">
        <f>IF(ISERROR( Dashboard!C143), "", Dashboard!B143)</f>
        <v>17</v>
      </c>
      <c r="B92" s="870" t="str">
        <f>IFERROR(INDEX('Summary of Results'!$B:$B, MATCH(A92, 'Summary of Results'!$A:$A, 0)), "")</f>
        <v>Cost of cells, $/kWhUse</v>
      </c>
      <c r="C92" s="871">
        <f ca="1">IF(OR(ISERROR($B92), $B92 = ""), "", IFERROR(INDEX('Summary of Results'!G:G, MATCH($A92, 'Summary of Results'!$A:$A, 0)), NA()))</f>
        <v>269.25803212038585</v>
      </c>
      <c r="D92" s="872">
        <f ca="1">IF(OR(ISERROR($B92), $B92 = ""), "", IFERROR(INDEX('Summary of Results'!H:H, MATCH($A92, 'Summary of Results'!$A:$A, 0)), NA()))</f>
        <v>184.60669059145073</v>
      </c>
      <c r="E92" s="872">
        <f ca="1">IF(OR(ISERROR($B92), $B92 = ""), "", IFERROR(INDEX('Summary of Results'!I:I, MATCH($A92, 'Summary of Results'!$A:$A, 0)), NA()))</f>
        <v>178.6486941359303</v>
      </c>
      <c r="F92" s="872">
        <f ca="1">IF(OR(ISERROR($B92), $B92 = ""), "", IFERROR(INDEX('Summary of Results'!J:J, MATCH($A92, 'Summary of Results'!$A:$A, 0)), NA()))</f>
        <v>174.87548724200394</v>
      </c>
      <c r="G92" s="872">
        <f ca="1">IF(OR(ISERROR($B92), $B92 = ""), "", IFERROR(INDEX('Summary of Results'!K:K, MATCH($A92, 'Summary of Results'!$A:$A, 0)), NA()))</f>
        <v>172.17880840245158</v>
      </c>
      <c r="H92" s="872">
        <f ca="1">IF(OR(ISERROR($B92), $B92 = ""), "", IFERROR(INDEX('Summary of Results'!L:L, MATCH($A92, 'Summary of Results'!$A:$A, 0)), NA()))</f>
        <v>167.73615526868616</v>
      </c>
      <c r="I92" s="873">
        <f ca="1">IF(OR(ISERROR($B92), $B92 = ""), "", IFERROR(INDEX('Summary of Results'!M:M, MATCH($A92, 'Summary of Results'!$A:$A, 0)), NA()))</f>
        <v>164.90273210426747</v>
      </c>
      <c r="N92" s="1232"/>
      <c r="O92" s="1232"/>
      <c r="P92" s="1232"/>
      <c r="Q92" s="1232"/>
      <c r="R92" s="1232"/>
      <c r="S92" s="1232"/>
      <c r="T92" s="1232"/>
      <c r="U92" s="12"/>
      <c r="V92" s="12"/>
      <c r="W92" s="698"/>
      <c r="X92" s="678"/>
      <c r="Y92" s="678"/>
      <c r="Z92" s="678"/>
      <c r="AA92" s="678"/>
      <c r="AB92" s="678"/>
      <c r="AC92" s="657"/>
      <c r="AD92" s="12"/>
      <c r="AE92" s="12"/>
      <c r="AF92" s="698"/>
      <c r="AG92" s="678"/>
      <c r="AH92" s="678"/>
      <c r="AI92" s="678"/>
      <c r="AJ92" s="678"/>
      <c r="AK92" s="678"/>
      <c r="AL92" s="657"/>
      <c r="AM92" s="12"/>
      <c r="AN92" s="12"/>
      <c r="AO92" s="698"/>
      <c r="AP92" s="678"/>
      <c r="AQ92" s="678"/>
      <c r="AR92" s="678"/>
      <c r="AS92" s="678"/>
      <c r="AT92" s="678"/>
      <c r="AU92" s="657"/>
    </row>
    <row r="93" spans="1:47" ht="20">
      <c r="A93" s="733">
        <f>IF(ISERROR( Dashboard!C144), "", Dashboard!B144)</f>
        <v>18</v>
      </c>
      <c r="B93" s="870" t="str">
        <f>IFERROR(INDEX('Summary of Results'!$B:$B, MATCH(A93, 'Summary of Results'!$A:$A, 0)), "")</f>
        <v>Extra cost of meeting fast charging requirements, $</v>
      </c>
      <c r="C93" s="871" t="str">
        <f>IF(OR(ISERROR($B93), $B93 = ""), "", IFERROR(INDEX('Summary of Results'!G:G, MATCH($A93, 'Summary of Results'!$A:$A, 0)), NA()))</f>
        <v>NA</v>
      </c>
      <c r="D93" s="872" t="str">
        <f>IF(OR(ISERROR($B93), $B93 = ""), "", IFERROR(INDEX('Summary of Results'!H:H, MATCH($A93, 'Summary of Results'!$A:$A, 0)), NA()))</f>
        <v>NA</v>
      </c>
      <c r="E93" s="872" t="str">
        <f>IF(OR(ISERROR($B93), $B93 = ""), "", IFERROR(INDEX('Summary of Results'!I:I, MATCH($A93, 'Summary of Results'!$A:$A, 0)), NA()))</f>
        <v>NA</v>
      </c>
      <c r="F93" s="872" t="str">
        <f>IF(OR(ISERROR($B93), $B93 = ""), "", IFERROR(INDEX('Summary of Results'!J:J, MATCH($A93, 'Summary of Results'!$A:$A, 0)), NA()))</f>
        <v>NA</v>
      </c>
      <c r="G93" s="872" t="str">
        <f>IF(OR(ISERROR($B93), $B93 = ""), "", IFERROR(INDEX('Summary of Results'!K:K, MATCH($A93, 'Summary of Results'!$A:$A, 0)), NA()))</f>
        <v>NA</v>
      </c>
      <c r="H93" s="872" t="str">
        <f>IF(OR(ISERROR($B93), $B93 = ""), "", IFERROR(INDEX('Summary of Results'!L:L, MATCH($A93, 'Summary of Results'!$A:$A, 0)), NA()))</f>
        <v>NA</v>
      </c>
      <c r="I93" s="873" t="str">
        <f>IF(OR(ISERROR($B93), $B93 = ""), "", IFERROR(INDEX('Summary of Results'!M:M, MATCH($A93, 'Summary of Results'!$A:$A, 0)), NA()))</f>
        <v>NA</v>
      </c>
      <c r="N93" s="810"/>
      <c r="O93" s="810"/>
      <c r="P93" s="810"/>
      <c r="Q93" s="810"/>
      <c r="R93" s="810"/>
      <c r="S93" s="810"/>
      <c r="T93" s="810"/>
      <c r="U93" s="12"/>
      <c r="V93" s="12"/>
      <c r="W93" s="826"/>
      <c r="X93" s="810"/>
      <c r="Y93" s="810"/>
      <c r="Z93" s="810"/>
      <c r="AA93" s="810"/>
      <c r="AB93" s="810"/>
      <c r="AC93" s="827"/>
      <c r="AD93" s="12"/>
      <c r="AE93" s="12"/>
      <c r="AF93" s="826">
        <v>9.65</v>
      </c>
      <c r="AG93" s="810">
        <v>9.65</v>
      </c>
      <c r="AH93" s="810">
        <v>9.65</v>
      </c>
      <c r="AI93" s="810">
        <v>9.65</v>
      </c>
      <c r="AJ93" s="810">
        <v>9.65</v>
      </c>
      <c r="AK93" s="810">
        <v>9.65</v>
      </c>
      <c r="AL93" s="827">
        <v>9.65</v>
      </c>
      <c r="AM93" s="12"/>
      <c r="AN93" s="12"/>
      <c r="AO93" s="826"/>
      <c r="AP93" s="810"/>
      <c r="AQ93" s="810"/>
      <c r="AR93" s="810"/>
      <c r="AS93" s="810"/>
      <c r="AT93" s="810"/>
      <c r="AU93" s="827"/>
    </row>
    <row r="94" spans="1:47" ht="20">
      <c r="A94" s="733">
        <f>IF(ISERROR( Dashboard!C145), "", Dashboard!B145)</f>
        <v>19</v>
      </c>
      <c r="B94" s="870" t="str">
        <f>IFERROR(INDEX('Summary of Results'!$B:$B, MATCH(A94, 'Summary of Results'!$A:$A, 0)), "")</f>
        <v>Production volume, packs per year</v>
      </c>
      <c r="C94" s="871">
        <f>IF(OR(ISERROR($B94), $B94 = ""), "", IFERROR(INDEX('Summary of Results'!G:G, MATCH($A94, 'Summary of Results'!$A:$A, 0)), NA()))</f>
        <v>1000</v>
      </c>
      <c r="D94" s="872">
        <f>IF(OR(ISERROR($B94), $B94 = ""), "", IFERROR(INDEX('Summary of Results'!H:H, MATCH($A94, 'Summary of Results'!$A:$A, 0)), NA()))</f>
        <v>20000</v>
      </c>
      <c r="E94" s="872">
        <f>IF(OR(ISERROR($B94), $B94 = ""), "", IFERROR(INDEX('Summary of Results'!I:I, MATCH($A94, 'Summary of Results'!$A:$A, 0)), NA()))</f>
        <v>30000</v>
      </c>
      <c r="F94" s="872">
        <f>IF(OR(ISERROR($B94), $B94 = ""), "", IFERROR(INDEX('Summary of Results'!J:J, MATCH($A94, 'Summary of Results'!$A:$A, 0)), NA()))</f>
        <v>40000</v>
      </c>
      <c r="G94" s="872">
        <f>IF(OR(ISERROR($B94), $B94 = ""), "", IFERROR(INDEX('Summary of Results'!K:K, MATCH($A94, 'Summary of Results'!$A:$A, 0)), NA()))</f>
        <v>50000</v>
      </c>
      <c r="H94" s="872">
        <f>IF(OR(ISERROR($B94), $B94 = ""), "", IFERROR(INDEX('Summary of Results'!L:L, MATCH($A94, 'Summary of Results'!$A:$A, 0)), NA()))</f>
        <v>75000</v>
      </c>
      <c r="I94" s="873">
        <f>IF(OR(ISERROR($B94), $B94 = ""), "", IFERROR(INDEX('Summary of Results'!M:M, MATCH($A94, 'Summary of Results'!$A:$A, 0)), NA()))</f>
        <v>100000</v>
      </c>
      <c r="N94" s="769"/>
      <c r="O94" s="12"/>
      <c r="P94" s="12"/>
      <c r="Q94" s="12"/>
      <c r="R94" s="12"/>
      <c r="S94" s="12"/>
      <c r="T94" s="770"/>
      <c r="U94" s="12"/>
      <c r="V94" s="12"/>
      <c r="W94" s="769"/>
      <c r="X94" s="12"/>
      <c r="Y94" s="12"/>
      <c r="Z94" s="12"/>
      <c r="AA94" s="12"/>
      <c r="AB94" s="12"/>
      <c r="AC94" s="770"/>
      <c r="AD94" s="12"/>
      <c r="AE94" s="12"/>
      <c r="AF94" s="769"/>
      <c r="AG94" s="12"/>
      <c r="AH94" s="12"/>
      <c r="AI94" s="12"/>
      <c r="AJ94" s="12"/>
      <c r="AK94" s="12"/>
      <c r="AL94" s="770"/>
      <c r="AM94" s="12"/>
      <c r="AN94" s="12"/>
      <c r="AO94" s="769"/>
      <c r="AP94" s="12"/>
      <c r="AQ94" s="12"/>
      <c r="AR94" s="12"/>
      <c r="AS94" s="12"/>
      <c r="AT94" s="12"/>
      <c r="AU94" s="770"/>
    </row>
    <row r="95" spans="1:47" ht="20">
      <c r="A95" s="733">
        <f ca="1">IF(ISERROR( Dashboard!C146), "", Dashboard!B146)</f>
        <v>20</v>
      </c>
      <c r="B95" s="870" t="str">
        <f ca="1">IFERROR(INDEX('Summary of Results'!$B:$B, MATCH(A95, 'Summary of Results'!$A:$A, 0)), "")</f>
        <v>Cell cost to OEM, US$/Cell</v>
      </c>
      <c r="C95" s="871">
        <f ca="1">IF(OR(ISERROR($B95), $B95 = ""), "", IFERROR(INDEX('Summary of Results'!G:G, MATCH($A95, 'Summary of Results'!$A:$A, 0)), NA()))</f>
        <v>57.217331825581958</v>
      </c>
      <c r="D95" s="872">
        <f ca="1">IF(OR(ISERROR($B95), $B95 = ""), "", IFERROR(INDEX('Summary of Results'!H:H, MATCH($A95, 'Summary of Results'!$A:$A, 0)), NA()))</f>
        <v>39.228921750683256</v>
      </c>
      <c r="E95" s="872">
        <f ca="1">IF(OR(ISERROR($B95), $B95 = ""), "", IFERROR(INDEX('Summary of Results'!I:I, MATCH($A95, 'Summary of Results'!$A:$A, 0)), NA()))</f>
        <v>37.962847503885172</v>
      </c>
      <c r="F95" s="872">
        <f ca="1">IF(OR(ISERROR($B95), $B95 = ""), "", IFERROR(INDEX('Summary of Results'!J:J, MATCH($A95, 'Summary of Results'!$A:$A, 0)), NA()))</f>
        <v>37.161041038925816</v>
      </c>
      <c r="G95" s="872">
        <f ca="1">IF(OR(ISERROR($B95), $B95 = ""), "", IFERROR(INDEX('Summary of Results'!K:K, MATCH($A95, 'Summary of Results'!$A:$A, 0)), NA()))</f>
        <v>36.587996785520943</v>
      </c>
      <c r="H95" s="872">
        <f ca="1">IF(OR(ISERROR($B95), $B95 = ""), "", IFERROR(INDEX('Summary of Results'!L:L, MATCH($A95, 'Summary of Results'!$A:$A, 0)), NA()))</f>
        <v>35.643932994595787</v>
      </c>
      <c r="I95" s="873">
        <f ca="1">IF(OR(ISERROR($B95), $B95 = ""), "", IFERROR(INDEX('Summary of Results'!M:M, MATCH($A95, 'Summary of Results'!$A:$A, 0)), NA()))</f>
        <v>35.041830572156826</v>
      </c>
      <c r="N95" s="769"/>
      <c r="O95" s="12"/>
      <c r="P95" s="12"/>
      <c r="Q95" s="12"/>
      <c r="R95" s="12"/>
      <c r="S95" s="12"/>
      <c r="T95" s="770"/>
      <c r="U95" s="12"/>
      <c r="V95" s="12"/>
      <c r="W95" s="769"/>
      <c r="X95" s="12"/>
      <c r="Y95" s="12"/>
      <c r="Z95" s="12"/>
      <c r="AA95" s="12"/>
      <c r="AB95" s="12"/>
      <c r="AC95" s="770"/>
      <c r="AD95" s="12"/>
      <c r="AE95" s="12"/>
      <c r="AF95" s="769"/>
      <c r="AG95" s="12"/>
      <c r="AH95" s="12"/>
      <c r="AI95" s="12"/>
      <c r="AJ95" s="12"/>
      <c r="AK95" s="12"/>
      <c r="AL95" s="770"/>
      <c r="AM95" s="12"/>
      <c r="AN95" s="12"/>
      <c r="AO95" s="769"/>
      <c r="AP95" s="12"/>
      <c r="AQ95" s="12"/>
      <c r="AR95" s="12"/>
      <c r="AS95" s="12"/>
      <c r="AT95" s="12"/>
      <c r="AU95" s="770"/>
    </row>
    <row r="96" spans="1:47" ht="21" thickBot="1">
      <c r="A96" s="733" t="str">
        <f>IF(ISERROR( Dashboard!C147), "", Dashboard!B147)</f>
        <v/>
      </c>
      <c r="B96" s="870" t="str">
        <f>IFERROR(INDEX('Summary of Results'!$B:$B, MATCH(A96, 'Summary of Results'!$A:$A, 0)), "")</f>
        <v/>
      </c>
      <c r="C96" s="871" t="str">
        <f>IF(OR(ISERROR($B96), $B96 = ""), "", IFERROR(INDEX('Summary of Results'!G:G, MATCH($A96, 'Summary of Results'!$A:$A, 0)), NA()))</f>
        <v/>
      </c>
      <c r="D96" s="872" t="str">
        <f>IF(OR(ISERROR($B96), $B96 = ""), "", IFERROR(INDEX('Summary of Results'!H:H, MATCH($A96, 'Summary of Results'!$A:$A, 0)), NA()))</f>
        <v/>
      </c>
      <c r="E96" s="872" t="str">
        <f>IF(OR(ISERROR($B96), $B96 = ""), "", IFERROR(INDEX('Summary of Results'!I:I, MATCH($A96, 'Summary of Results'!$A:$A, 0)), NA()))</f>
        <v/>
      </c>
      <c r="F96" s="872" t="str">
        <f>IF(OR(ISERROR($B96), $B96 = ""), "", IFERROR(INDEX('Summary of Results'!J:J, MATCH($A96, 'Summary of Results'!$A:$A, 0)), NA()))</f>
        <v/>
      </c>
      <c r="G96" s="872" t="str">
        <f>IF(OR(ISERROR($B96), $B96 = ""), "", IFERROR(INDEX('Summary of Results'!K:K, MATCH($A96, 'Summary of Results'!$A:$A, 0)), NA()))</f>
        <v/>
      </c>
      <c r="H96" s="872" t="str">
        <f>IF(OR(ISERROR($B96), $B96 = ""), "", IFERROR(INDEX('Summary of Results'!L:L, MATCH($A96, 'Summary of Results'!$A:$A, 0)), NA()))</f>
        <v/>
      </c>
      <c r="I96" s="873" t="str">
        <f>IF(OR(ISERROR($B96), $B96 = ""), "", IFERROR(INDEX('Summary of Results'!M:M, MATCH($A96, 'Summary of Results'!$A:$A, 0)), NA()))</f>
        <v/>
      </c>
      <c r="N96" s="828">
        <v>30</v>
      </c>
      <c r="O96" s="75">
        <v>32</v>
      </c>
      <c r="P96" s="75">
        <v>34</v>
      </c>
      <c r="Q96" s="75">
        <v>36</v>
      </c>
      <c r="R96" s="75">
        <v>38</v>
      </c>
      <c r="S96" s="75">
        <v>40</v>
      </c>
      <c r="T96" s="829">
        <v>42</v>
      </c>
      <c r="U96" s="12"/>
      <c r="V96" s="12"/>
      <c r="W96" s="828"/>
      <c r="X96" s="75"/>
      <c r="Y96" s="75"/>
      <c r="Z96" s="75"/>
      <c r="AA96" s="75"/>
      <c r="AB96" s="75"/>
      <c r="AC96" s="829"/>
      <c r="AD96" s="12"/>
      <c r="AE96" s="12"/>
      <c r="AF96" s="828"/>
      <c r="AG96" s="75"/>
      <c r="AH96" s="75"/>
      <c r="AI96" s="75"/>
      <c r="AJ96" s="75"/>
      <c r="AK96" s="75"/>
      <c r="AL96" s="829"/>
      <c r="AM96" s="12"/>
      <c r="AN96" s="12"/>
      <c r="AO96" s="828"/>
      <c r="AP96" s="75"/>
      <c r="AQ96" s="75"/>
      <c r="AR96" s="75"/>
      <c r="AS96" s="75"/>
      <c r="AT96" s="75"/>
      <c r="AU96" s="829"/>
    </row>
    <row r="97" spans="1:47" ht="20">
      <c r="A97" s="733" t="str">
        <f>IF(ISERROR( Dashboard!C148), "", Dashboard!B148)</f>
        <v/>
      </c>
      <c r="B97" s="870" t="str">
        <f>IFERROR(INDEX('Summary of Results'!$B:$B, MATCH(A97, 'Summary of Results'!$A:$A, 0)), "")</f>
        <v/>
      </c>
      <c r="C97" s="871" t="str">
        <f>IF(OR(ISERROR($B97), $B97 = ""), "", IFERROR(INDEX('Summary of Results'!G:G, MATCH($A97, 'Summary of Results'!$A:$A, 0)), NA()))</f>
        <v/>
      </c>
      <c r="D97" s="872" t="str">
        <f>IF(OR(ISERROR($B97), $B97 = ""), "", IFERROR(INDEX('Summary of Results'!H:H, MATCH($A97, 'Summary of Results'!$A:$A, 0)), NA()))</f>
        <v/>
      </c>
      <c r="E97" s="872" t="str">
        <f>IF(OR(ISERROR($B97), $B97 = ""), "", IFERROR(INDEX('Summary of Results'!I:I, MATCH($A97, 'Summary of Results'!$A:$A, 0)), NA()))</f>
        <v/>
      </c>
      <c r="F97" s="872" t="str">
        <f>IF(OR(ISERROR($B97), $B97 = ""), "", IFERROR(INDEX('Summary of Results'!J:J, MATCH($A97, 'Summary of Results'!$A:$A, 0)), NA()))</f>
        <v/>
      </c>
      <c r="G97" s="872" t="str">
        <f>IF(OR(ISERROR($B97), $B97 = ""), "", IFERROR(INDEX('Summary of Results'!K:K, MATCH($A97, 'Summary of Results'!$A:$A, 0)), NA()))</f>
        <v/>
      </c>
      <c r="H97" s="872" t="str">
        <f>IF(OR(ISERROR($B97), $B97 = ""), "", IFERROR(INDEX('Summary of Results'!L:L, MATCH($A97, 'Summary of Results'!$A:$A, 0)), NA()))</f>
        <v/>
      </c>
      <c r="I97" s="873" t="str">
        <f>IF(OR(ISERROR($B97), $B97 = ""), "", IFERROR(INDEX('Summary of Results'!M:M, MATCH($A97, 'Summary of Results'!$A:$A, 0)), NA()))</f>
        <v/>
      </c>
      <c r="N97" s="769"/>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770"/>
    </row>
    <row r="98" spans="1:47" ht="21" thickBot="1">
      <c r="A98" s="733" t="str">
        <f>IF(ISERROR( Dashboard!C149), "", Dashboard!B149)</f>
        <v/>
      </c>
      <c r="B98" s="870" t="str">
        <f>IFERROR(INDEX('Summary of Results'!$B:$B, MATCH(A98, 'Summary of Results'!$A:$A, 0)), "")</f>
        <v/>
      </c>
      <c r="C98" s="871" t="str">
        <f>IF(OR(ISERROR($B98), $B98 = ""), "", IFERROR(INDEX('Summary of Results'!G:G, MATCH($A98, 'Summary of Results'!$A:$A, 0)), NA()))</f>
        <v/>
      </c>
      <c r="D98" s="872" t="str">
        <f>IF(OR(ISERROR($B98), $B98 = ""), "", IFERROR(INDEX('Summary of Results'!H:H, MATCH($A98, 'Summary of Results'!$A:$A, 0)), NA()))</f>
        <v/>
      </c>
      <c r="E98" s="872" t="str">
        <f>IF(OR(ISERROR($B98), $B98 = ""), "", IFERROR(INDEX('Summary of Results'!I:I, MATCH($A98, 'Summary of Results'!$A:$A, 0)), NA()))</f>
        <v/>
      </c>
      <c r="F98" s="872" t="str">
        <f>IF(OR(ISERROR($B98), $B98 = ""), "", IFERROR(INDEX('Summary of Results'!J:J, MATCH($A98, 'Summary of Results'!$A:$A, 0)), NA()))</f>
        <v/>
      </c>
      <c r="G98" s="872" t="str">
        <f>IF(OR(ISERROR($B98), $B98 = ""), "", IFERROR(INDEX('Summary of Results'!K:K, MATCH($A98, 'Summary of Results'!$A:$A, 0)), NA()))</f>
        <v/>
      </c>
      <c r="H98" s="872" t="str">
        <f>IF(OR(ISERROR($B98), $B98 = ""), "", IFERROR(INDEX('Summary of Results'!L:L, MATCH($A98, 'Summary of Results'!$A:$A, 0)), NA()))</f>
        <v/>
      </c>
      <c r="I98" s="873" t="str">
        <f>IF(OR(ISERROR($B98), $B98 = ""), "", IFERROR(INDEX('Summary of Results'!M:M, MATCH($A98, 'Summary of Results'!$A:$A, 0)), NA()))</f>
        <v/>
      </c>
      <c r="N98" s="769"/>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770"/>
    </row>
    <row r="99" spans="1:47" ht="20">
      <c r="A99" s="733" t="str">
        <f>IF(ISERROR( Dashboard!C150), "", Dashboard!B150)</f>
        <v/>
      </c>
      <c r="B99" s="870" t="str">
        <f>IFERROR(INDEX('Summary of Results'!$B:$B, MATCH(A99, 'Summary of Results'!$A:$A, 0)), "")</f>
        <v/>
      </c>
      <c r="C99" s="871" t="str">
        <f>IF(OR(ISERROR($B99), $B99 = ""), "", IFERROR(INDEX('Summary of Results'!G:G, MATCH($A99, 'Summary of Results'!$A:$A, 0)), NA()))</f>
        <v/>
      </c>
      <c r="D99" s="872" t="str">
        <f>IF(OR(ISERROR($B99), $B99 = ""), "", IFERROR(INDEX('Summary of Results'!H:H, MATCH($A99, 'Summary of Results'!$A:$A, 0)), NA()))</f>
        <v/>
      </c>
      <c r="E99" s="872" t="str">
        <f>IF(OR(ISERROR($B99), $B99 = ""), "", IFERROR(INDEX('Summary of Results'!I:I, MATCH($A99, 'Summary of Results'!$A:$A, 0)), NA()))</f>
        <v/>
      </c>
      <c r="F99" s="872" t="str">
        <f>IF(OR(ISERROR($B99), $B99 = ""), "", IFERROR(INDEX('Summary of Results'!J:J, MATCH($A99, 'Summary of Results'!$A:$A, 0)), NA()))</f>
        <v/>
      </c>
      <c r="G99" s="872" t="str">
        <f>IF(OR(ISERROR($B99), $B99 = ""), "", IFERROR(INDEX('Summary of Results'!K:K, MATCH($A99, 'Summary of Results'!$A:$A, 0)), NA()))</f>
        <v/>
      </c>
      <c r="H99" s="872" t="str">
        <f>IF(OR(ISERROR($B99), $B99 = ""), "", IFERROR(INDEX('Summary of Results'!L:L, MATCH($A99, 'Summary of Results'!$A:$A, 0)), NA()))</f>
        <v/>
      </c>
      <c r="I99" s="873" t="str">
        <f>IF(OR(ISERROR($B99), $B99 = ""), "", IFERROR(INDEX('Summary of Results'!M:M, MATCH($A99, 'Summary of Results'!$A:$A, 0)), NA()))</f>
        <v/>
      </c>
      <c r="N99" s="769"/>
      <c r="O99" s="12"/>
      <c r="P99" s="12"/>
      <c r="Q99" s="12"/>
      <c r="R99" s="12"/>
      <c r="S99" s="12"/>
      <c r="T99" s="12"/>
      <c r="U99" s="12"/>
      <c r="V99" s="12"/>
      <c r="W99" s="12"/>
      <c r="X99" s="12"/>
      <c r="Y99" s="12"/>
      <c r="Z99" s="12"/>
      <c r="AA99" s="12"/>
      <c r="AB99" s="12"/>
      <c r="AC99" s="12"/>
      <c r="AD99" s="12"/>
      <c r="AE99" s="12"/>
      <c r="AF99" s="91"/>
      <c r="AG99" s="92"/>
      <c r="AH99" s="92"/>
      <c r="AI99" s="92"/>
      <c r="AJ99" s="92"/>
      <c r="AK99" s="92"/>
      <c r="AL99" s="811"/>
      <c r="AM99" s="12"/>
      <c r="AN99" s="12"/>
      <c r="AO99" s="12"/>
      <c r="AP99" s="12"/>
      <c r="AQ99" s="12"/>
      <c r="AR99" s="12"/>
      <c r="AS99" s="12"/>
      <c r="AT99" s="12"/>
      <c r="AU99" s="770"/>
    </row>
    <row r="100" spans="1:47" ht="20">
      <c r="A100" s="733" t="str">
        <f>IF(ISERROR( Dashboard!C151), "", Dashboard!B151)</f>
        <v/>
      </c>
      <c r="B100" s="870" t="str">
        <f>IFERROR(INDEX('Summary of Results'!$B:$B, MATCH(A100, 'Summary of Results'!$A:$A, 0)), "")</f>
        <v/>
      </c>
      <c r="C100" s="871" t="str">
        <f>IF(OR(ISERROR($B100), $B100 = ""), "", IFERROR(INDEX('Summary of Results'!G:G, MATCH($A100, 'Summary of Results'!$A:$A, 0)), NA()))</f>
        <v/>
      </c>
      <c r="D100" s="872" t="str">
        <f>IF(OR(ISERROR($B100), $B100 = ""), "", IFERROR(INDEX('Summary of Results'!H:H, MATCH($A100, 'Summary of Results'!$A:$A, 0)), NA()))</f>
        <v/>
      </c>
      <c r="E100" s="872" t="str">
        <f>IF(OR(ISERROR($B100), $B100 = ""), "", IFERROR(INDEX('Summary of Results'!I:I, MATCH($A100, 'Summary of Results'!$A:$A, 0)), NA()))</f>
        <v/>
      </c>
      <c r="F100" s="872" t="str">
        <f>IF(OR(ISERROR($B100), $B100 = ""), "", IFERROR(INDEX('Summary of Results'!J:J, MATCH($A100, 'Summary of Results'!$A:$A, 0)), NA()))</f>
        <v/>
      </c>
      <c r="G100" s="872" t="str">
        <f>IF(OR(ISERROR($B100), $B100 = ""), "", IFERROR(INDEX('Summary of Results'!K:K, MATCH($A100, 'Summary of Results'!$A:$A, 0)), NA()))</f>
        <v/>
      </c>
      <c r="H100" s="872" t="str">
        <f>IF(OR(ISERROR($B100), $B100 = ""), "", IFERROR(INDEX('Summary of Results'!L:L, MATCH($A100, 'Summary of Results'!$A:$A, 0)), NA()))</f>
        <v/>
      </c>
      <c r="I100" s="873" t="str">
        <f>IF(OR(ISERROR($B100), $B100 = ""), "", IFERROR(INDEX('Summary of Results'!M:M, MATCH($A100, 'Summary of Results'!$A:$A, 0)), NA()))</f>
        <v/>
      </c>
      <c r="N100" s="769"/>
      <c r="O100" s="12"/>
      <c r="P100" s="12"/>
      <c r="Q100" s="12"/>
      <c r="R100" s="12"/>
      <c r="S100" s="12"/>
      <c r="T100" s="12"/>
      <c r="U100" s="12"/>
      <c r="V100" s="12"/>
      <c r="W100" s="12"/>
      <c r="X100" s="12"/>
      <c r="Y100" s="12"/>
      <c r="Z100" s="12"/>
      <c r="AA100" s="12"/>
      <c r="AB100" s="12"/>
      <c r="AC100" s="12"/>
      <c r="AD100" s="12"/>
      <c r="AE100" s="12"/>
      <c r="AF100" s="812">
        <v>180</v>
      </c>
      <c r="AG100" s="812">
        <v>180</v>
      </c>
      <c r="AH100" s="812">
        <v>180</v>
      </c>
      <c r="AI100" s="812">
        <v>180</v>
      </c>
      <c r="AJ100" s="812">
        <v>180</v>
      </c>
      <c r="AK100" s="812">
        <v>180</v>
      </c>
      <c r="AL100" s="812">
        <v>180</v>
      </c>
      <c r="AM100" s="12"/>
      <c r="AN100" s="12"/>
      <c r="AO100" s="12"/>
      <c r="AP100" s="12"/>
      <c r="AQ100" s="12"/>
      <c r="AR100" s="12"/>
      <c r="AS100" s="12"/>
      <c r="AT100" s="12"/>
      <c r="AU100" s="770"/>
    </row>
    <row r="101" spans="1:47" ht="20">
      <c r="A101" s="733" t="str">
        <f>IF(ISERROR( Dashboard!C152), "", Dashboard!B152)</f>
        <v/>
      </c>
      <c r="B101" s="870" t="str">
        <f>IFERROR(INDEX('Summary of Results'!$B:$B, MATCH(A101, 'Summary of Results'!$A:$A, 0)), "")</f>
        <v/>
      </c>
      <c r="C101" s="871" t="str">
        <f>IF(OR(ISERROR($B101), $B101 = ""), "", IFERROR(INDEX('Summary of Results'!G:G, MATCH($A101, 'Summary of Results'!$A:$A, 0)), NA()))</f>
        <v/>
      </c>
      <c r="D101" s="872" t="str">
        <f>IF(OR(ISERROR($B101), $B101 = ""), "", IFERROR(INDEX('Summary of Results'!H:H, MATCH($A101, 'Summary of Results'!$A:$A, 0)), NA()))</f>
        <v/>
      </c>
      <c r="E101" s="872" t="str">
        <f>IF(OR(ISERROR($B101), $B101 = ""), "", IFERROR(INDEX('Summary of Results'!I:I, MATCH($A101, 'Summary of Results'!$A:$A, 0)), NA()))</f>
        <v/>
      </c>
      <c r="F101" s="872" t="str">
        <f>IF(OR(ISERROR($B101), $B101 = ""), "", IFERROR(INDEX('Summary of Results'!J:J, MATCH($A101, 'Summary of Results'!$A:$A, 0)), NA()))</f>
        <v/>
      </c>
      <c r="G101" s="872" t="str">
        <f>IF(OR(ISERROR($B101), $B101 = ""), "", IFERROR(INDEX('Summary of Results'!K:K, MATCH($A101, 'Summary of Results'!$A:$A, 0)), NA()))</f>
        <v/>
      </c>
      <c r="H101" s="872" t="str">
        <f>IF(OR(ISERROR($B101), $B101 = ""), "", IFERROR(INDEX('Summary of Results'!L:L, MATCH($A101, 'Summary of Results'!$A:$A, 0)), NA()))</f>
        <v/>
      </c>
      <c r="I101" s="873" t="str">
        <f>IF(OR(ISERROR($B101), $B101 = ""), "", IFERROR(INDEX('Summary of Results'!M:M, MATCH($A101, 'Summary of Results'!$A:$A, 0)), NA()))</f>
        <v/>
      </c>
      <c r="N101" s="769"/>
      <c r="O101" s="12"/>
      <c r="P101" s="12"/>
      <c r="Q101" s="12"/>
      <c r="R101" s="12"/>
      <c r="S101" s="12"/>
      <c r="T101" s="12"/>
      <c r="U101" s="12"/>
      <c r="V101" s="12"/>
      <c r="W101" s="12"/>
      <c r="X101" s="12"/>
      <c r="Y101" s="12"/>
      <c r="Z101" s="12"/>
      <c r="AA101" s="12"/>
      <c r="AB101" s="12"/>
      <c r="AC101" s="12"/>
      <c r="AD101" s="12"/>
      <c r="AE101" s="12"/>
      <c r="AF101" s="814">
        <v>12</v>
      </c>
      <c r="AG101" s="814">
        <v>12</v>
      </c>
      <c r="AH101" s="814">
        <v>12</v>
      </c>
      <c r="AI101" s="814">
        <v>12</v>
      </c>
      <c r="AJ101" s="814">
        <v>12</v>
      </c>
      <c r="AK101" s="814">
        <v>12</v>
      </c>
      <c r="AL101" s="814">
        <v>12</v>
      </c>
      <c r="AM101" s="12"/>
      <c r="AN101" s="12"/>
      <c r="AO101" s="12"/>
      <c r="AP101" s="12"/>
      <c r="AQ101" s="12"/>
      <c r="AR101" s="12"/>
      <c r="AS101" s="12"/>
      <c r="AT101" s="12"/>
      <c r="AU101" s="770"/>
    </row>
    <row r="102" spans="1:47" ht="20">
      <c r="A102" s="733" t="str">
        <f>IF(ISERROR( Dashboard!C153), "", Dashboard!B153)</f>
        <v/>
      </c>
      <c r="B102" s="870" t="str">
        <f>IFERROR(INDEX('Summary of Results'!$B:$B, MATCH(A102, 'Summary of Results'!$A:$A, 0)), "")</f>
        <v/>
      </c>
      <c r="C102" s="871" t="str">
        <f>IF(OR(ISERROR($B102), $B102 = ""), "", IFERROR(INDEX('Summary of Results'!G:G, MATCH($A102, 'Summary of Results'!$A:$A, 0)), NA()))</f>
        <v/>
      </c>
      <c r="D102" s="872" t="str">
        <f>IF(OR(ISERROR($B102), $B102 = ""), "", IFERROR(INDEX('Summary of Results'!H:H, MATCH($A102, 'Summary of Results'!$A:$A, 0)), NA()))</f>
        <v/>
      </c>
      <c r="E102" s="872" t="str">
        <f>IF(OR(ISERROR($B102), $B102 = ""), "", IFERROR(INDEX('Summary of Results'!I:I, MATCH($A102, 'Summary of Results'!$A:$A, 0)), NA()))</f>
        <v/>
      </c>
      <c r="F102" s="872" t="str">
        <f>IF(OR(ISERROR($B102), $B102 = ""), "", IFERROR(INDEX('Summary of Results'!J:J, MATCH($A102, 'Summary of Results'!$A:$A, 0)), NA()))</f>
        <v/>
      </c>
      <c r="G102" s="872" t="str">
        <f>IF(OR(ISERROR($B102), $B102 = ""), "", IFERROR(INDEX('Summary of Results'!K:K, MATCH($A102, 'Summary of Results'!$A:$A, 0)), NA()))</f>
        <v/>
      </c>
      <c r="H102" s="872" t="str">
        <f>IF(OR(ISERROR($B102), $B102 = ""), "", IFERROR(INDEX('Summary of Results'!L:L, MATCH($A102, 'Summary of Results'!$A:$A, 0)), NA()))</f>
        <v/>
      </c>
      <c r="I102" s="873" t="str">
        <f>IF(OR(ISERROR($B102), $B102 = ""), "", IFERROR(INDEX('Summary of Results'!M:M, MATCH($A102, 'Summary of Results'!$A:$A, 0)), NA()))</f>
        <v/>
      </c>
      <c r="N102" s="769"/>
      <c r="O102" s="12"/>
      <c r="P102" s="12"/>
      <c r="Q102" s="12"/>
      <c r="R102" s="12"/>
      <c r="S102" s="12"/>
      <c r="T102" s="12"/>
      <c r="U102" s="12"/>
      <c r="V102" s="12"/>
      <c r="W102" s="12"/>
      <c r="X102" s="12"/>
      <c r="Y102" s="12"/>
      <c r="Z102" s="12"/>
      <c r="AA102" s="12"/>
      <c r="AB102" s="12"/>
      <c r="AC102" s="12"/>
      <c r="AD102" s="12"/>
      <c r="AE102" s="12"/>
      <c r="AF102" s="814">
        <v>1</v>
      </c>
      <c r="AG102" s="814">
        <v>1</v>
      </c>
      <c r="AH102" s="814">
        <v>1</v>
      </c>
      <c r="AI102" s="814">
        <v>1</v>
      </c>
      <c r="AJ102" s="814">
        <v>1</v>
      </c>
      <c r="AK102" s="814">
        <v>1</v>
      </c>
      <c r="AL102" s="814">
        <v>1</v>
      </c>
      <c r="AM102" s="12"/>
      <c r="AN102" s="12"/>
      <c r="AO102" s="12"/>
      <c r="AP102" s="12"/>
      <c r="AQ102" s="12"/>
      <c r="AR102" s="12"/>
      <c r="AS102" s="12"/>
      <c r="AT102" s="12"/>
      <c r="AU102" s="770"/>
    </row>
    <row r="103" spans="1:47" ht="20">
      <c r="A103" s="733" t="str">
        <f>IF(ISERROR( Dashboard!C154), "", Dashboard!B154)</f>
        <v/>
      </c>
      <c r="B103" s="870" t="str">
        <f>IFERROR(INDEX('Summary of Results'!$B:$B, MATCH(A103, 'Summary of Results'!$A:$A, 0)), "")</f>
        <v/>
      </c>
      <c r="C103" s="871" t="str">
        <f>IF(OR(ISERROR($B103), $B103 = ""), "", IFERROR(INDEX('Summary of Results'!G:G, MATCH($A103, 'Summary of Results'!$A:$A, 0)), NA()))</f>
        <v/>
      </c>
      <c r="D103" s="872" t="str">
        <f>IF(OR(ISERROR($B103), $B103 = ""), "", IFERROR(INDEX('Summary of Results'!H:H, MATCH($A103, 'Summary of Results'!$A:$A, 0)), NA()))</f>
        <v/>
      </c>
      <c r="E103" s="872" t="str">
        <f>IF(OR(ISERROR($B103), $B103 = ""), "", IFERROR(INDEX('Summary of Results'!I:I, MATCH($A103, 'Summary of Results'!$A:$A, 0)), NA()))</f>
        <v/>
      </c>
      <c r="F103" s="872" t="str">
        <f>IF(OR(ISERROR($B103), $B103 = ""), "", IFERROR(INDEX('Summary of Results'!J:J, MATCH($A103, 'Summary of Results'!$A:$A, 0)), NA()))</f>
        <v/>
      </c>
      <c r="G103" s="872" t="str">
        <f>IF(OR(ISERROR($B103), $B103 = ""), "", IFERROR(INDEX('Summary of Results'!K:K, MATCH($A103, 'Summary of Results'!$A:$A, 0)), NA()))</f>
        <v/>
      </c>
      <c r="H103" s="872" t="str">
        <f>IF(OR(ISERROR($B103), $B103 = ""), "", IFERROR(INDEX('Summary of Results'!L:L, MATCH($A103, 'Summary of Results'!$A:$A, 0)), NA()))</f>
        <v/>
      </c>
      <c r="I103" s="873" t="str">
        <f>IF(OR(ISERROR($B103), $B103 = ""), "", IFERROR(INDEX('Summary of Results'!M:M, MATCH($A103, 'Summary of Results'!$A:$A, 0)), NA()))</f>
        <v/>
      </c>
      <c r="N103" s="769"/>
      <c r="O103" s="12"/>
      <c r="P103" s="12"/>
      <c r="Q103" s="12"/>
      <c r="R103" s="12"/>
      <c r="S103" s="12"/>
      <c r="T103" s="12"/>
      <c r="U103" s="12"/>
      <c r="V103" s="12"/>
      <c r="W103" s="12"/>
      <c r="X103" s="12"/>
      <c r="Y103" s="12"/>
      <c r="Z103" s="12"/>
      <c r="AA103" s="12"/>
      <c r="AB103" s="12"/>
      <c r="AC103" s="12"/>
      <c r="AD103" s="12"/>
      <c r="AE103" s="12"/>
      <c r="AF103" s="812">
        <v>5</v>
      </c>
      <c r="AG103" s="812">
        <v>5</v>
      </c>
      <c r="AH103" s="812">
        <v>5</v>
      </c>
      <c r="AI103" s="812">
        <v>5</v>
      </c>
      <c r="AJ103" s="812">
        <v>5</v>
      </c>
      <c r="AK103" s="812">
        <v>5</v>
      </c>
      <c r="AL103" s="812">
        <v>5</v>
      </c>
      <c r="AM103" s="12"/>
      <c r="AN103" s="12"/>
      <c r="AO103" s="12"/>
      <c r="AP103" s="12"/>
      <c r="AQ103" s="12"/>
      <c r="AR103" s="12"/>
      <c r="AS103" s="12"/>
      <c r="AT103" s="12"/>
      <c r="AU103" s="770"/>
    </row>
    <row r="104" spans="1:47" ht="20">
      <c r="A104" s="733" t="str">
        <f>IF(ISERROR( Dashboard!C155), "", Dashboard!B155)</f>
        <v/>
      </c>
      <c r="B104" s="870" t="str">
        <f>IFERROR(INDEX('Summary of Results'!$B:$B, MATCH(A104, 'Summary of Results'!$A:$A, 0)), "")</f>
        <v/>
      </c>
      <c r="C104" s="871" t="str">
        <f>IF(OR(ISERROR($B104), $B104 = ""), "", IFERROR(INDEX('Summary of Results'!G:G, MATCH($A104, 'Summary of Results'!$A:$A, 0)), NA()))</f>
        <v/>
      </c>
      <c r="D104" s="872" t="str">
        <f>IF(OR(ISERROR($B104), $B104 = ""), "", IFERROR(INDEX('Summary of Results'!H:H, MATCH($A104, 'Summary of Results'!$A:$A, 0)), NA()))</f>
        <v/>
      </c>
      <c r="E104" s="872" t="str">
        <f>IF(OR(ISERROR($B104), $B104 = ""), "", IFERROR(INDEX('Summary of Results'!I:I, MATCH($A104, 'Summary of Results'!$A:$A, 0)), NA()))</f>
        <v/>
      </c>
      <c r="F104" s="872" t="str">
        <f>IF(OR(ISERROR($B104), $B104 = ""), "", IFERROR(INDEX('Summary of Results'!J:J, MATCH($A104, 'Summary of Results'!$A:$A, 0)), NA()))</f>
        <v/>
      </c>
      <c r="G104" s="872" t="str">
        <f>IF(OR(ISERROR($B104), $B104 = ""), "", IFERROR(INDEX('Summary of Results'!K:K, MATCH($A104, 'Summary of Results'!$A:$A, 0)), NA()))</f>
        <v/>
      </c>
      <c r="H104" s="872" t="str">
        <f>IF(OR(ISERROR($B104), $B104 = ""), "", IFERROR(INDEX('Summary of Results'!L:L, MATCH($A104, 'Summary of Results'!$A:$A, 0)), NA()))</f>
        <v/>
      </c>
      <c r="I104" s="873" t="str">
        <f>IF(OR(ISERROR($B104), $B104 = ""), "", IFERROR(INDEX('Summary of Results'!M:M, MATCH($A104, 'Summary of Results'!$A:$A, 0)), NA()))</f>
        <v/>
      </c>
      <c r="N104" s="769"/>
      <c r="O104" s="12"/>
      <c r="P104" s="12"/>
      <c r="Q104" s="12"/>
      <c r="R104" s="12"/>
      <c r="S104" s="12"/>
      <c r="T104" s="12"/>
      <c r="U104" s="12"/>
      <c r="V104" s="12"/>
      <c r="W104" s="12"/>
      <c r="X104" s="12"/>
      <c r="Y104" s="12"/>
      <c r="Z104" s="12"/>
      <c r="AA104" s="12"/>
      <c r="AB104" s="12"/>
      <c r="AC104" s="12"/>
      <c r="AD104" s="12"/>
      <c r="AE104" s="12"/>
      <c r="AF104" s="812">
        <v>4</v>
      </c>
      <c r="AG104" s="812">
        <v>4</v>
      </c>
      <c r="AH104" s="812">
        <v>4</v>
      </c>
      <c r="AI104" s="812">
        <v>4</v>
      </c>
      <c r="AJ104" s="812">
        <v>4</v>
      </c>
      <c r="AK104" s="812">
        <v>4</v>
      </c>
      <c r="AL104" s="812">
        <v>4</v>
      </c>
      <c r="AM104" s="12"/>
      <c r="AN104" s="12"/>
      <c r="AO104" s="12"/>
      <c r="AP104" s="12"/>
      <c r="AQ104" s="12"/>
      <c r="AR104" s="12"/>
      <c r="AS104" s="12"/>
      <c r="AT104" s="12"/>
      <c r="AU104" s="770"/>
    </row>
    <row r="105" spans="1:47" ht="20">
      <c r="A105" s="733" t="str">
        <f>IF(ISERROR( Dashboard!C156), "", Dashboard!B156)</f>
        <v/>
      </c>
      <c r="B105" s="870" t="str">
        <f>IFERROR(INDEX('Summary of Results'!$B:$B, MATCH(A105, 'Summary of Results'!$A:$A, 0)), "")</f>
        <v/>
      </c>
      <c r="C105" s="871" t="str">
        <f>IF(OR(ISERROR($B105), $B105 = ""), "", IFERROR(INDEX('Summary of Results'!G:G, MATCH($A105, 'Summary of Results'!$A:$A, 0)), NA()))</f>
        <v/>
      </c>
      <c r="D105" s="872" t="str">
        <f>IF(OR(ISERROR($B105), $B105 = ""), "", IFERROR(INDEX('Summary of Results'!H:H, MATCH($A105, 'Summary of Results'!$A:$A, 0)), NA()))</f>
        <v/>
      </c>
      <c r="E105" s="872" t="str">
        <f>IF(OR(ISERROR($B105), $B105 = ""), "", IFERROR(INDEX('Summary of Results'!I:I, MATCH($A105, 'Summary of Results'!$A:$A, 0)), NA()))</f>
        <v/>
      </c>
      <c r="F105" s="872" t="str">
        <f>IF(OR(ISERROR($B105), $B105 = ""), "", IFERROR(INDEX('Summary of Results'!J:J, MATCH($A105, 'Summary of Results'!$A:$A, 0)), NA()))</f>
        <v/>
      </c>
      <c r="G105" s="872" t="str">
        <f>IF(OR(ISERROR($B105), $B105 = ""), "", IFERROR(INDEX('Summary of Results'!K:K, MATCH($A105, 'Summary of Results'!$A:$A, 0)), NA()))</f>
        <v/>
      </c>
      <c r="H105" s="872" t="str">
        <f>IF(OR(ISERROR($B105), $B105 = ""), "", IFERROR(INDEX('Summary of Results'!L:L, MATCH($A105, 'Summary of Results'!$A:$A, 0)), NA()))</f>
        <v/>
      </c>
      <c r="I105" s="873" t="str">
        <f>IF(OR(ISERROR($B105), $B105 = ""), "", IFERROR(INDEX('Summary of Results'!M:M, MATCH($A105, 'Summary of Results'!$A:$A, 0)), NA()))</f>
        <v/>
      </c>
      <c r="N105" s="769"/>
      <c r="O105" s="12"/>
      <c r="P105" s="12"/>
      <c r="Q105" s="12"/>
      <c r="R105" s="12"/>
      <c r="S105" s="12"/>
      <c r="T105" s="12"/>
      <c r="U105" s="12"/>
      <c r="V105" s="12"/>
      <c r="W105" s="12"/>
      <c r="X105" s="12"/>
      <c r="Y105" s="12"/>
      <c r="Z105" s="12"/>
      <c r="AA105" s="12"/>
      <c r="AB105" s="12"/>
      <c r="AC105" s="12"/>
      <c r="AD105" s="12"/>
      <c r="AE105" s="12"/>
      <c r="AF105" s="812">
        <v>1</v>
      </c>
      <c r="AG105" s="812">
        <v>1</v>
      </c>
      <c r="AH105" s="812">
        <v>1</v>
      </c>
      <c r="AI105" s="812">
        <v>1</v>
      </c>
      <c r="AJ105" s="812">
        <v>1</v>
      </c>
      <c r="AK105" s="812">
        <v>1</v>
      </c>
      <c r="AL105" s="812">
        <v>1</v>
      </c>
      <c r="AM105" s="12"/>
      <c r="AN105" s="12"/>
      <c r="AO105" s="12"/>
      <c r="AP105" s="12"/>
      <c r="AQ105" s="12"/>
      <c r="AR105" s="12"/>
      <c r="AS105" s="12"/>
      <c r="AT105" s="12"/>
      <c r="AU105" s="770"/>
    </row>
    <row r="106" spans="1:47" ht="20">
      <c r="A106" s="733" t="str">
        <f>IF(ISERROR( Dashboard!C157), "", Dashboard!B157)</f>
        <v/>
      </c>
      <c r="B106" s="870" t="str">
        <f>IFERROR(INDEX('Summary of Results'!$B:$B, MATCH(A106, 'Summary of Results'!$A:$A, 0)), "")</f>
        <v/>
      </c>
      <c r="C106" s="871" t="str">
        <f>IF(OR(ISERROR($B106), $B106 = ""), "", IFERROR(INDEX('Summary of Results'!G:G, MATCH($A106, 'Summary of Results'!$A:$A, 0)), NA()))</f>
        <v/>
      </c>
      <c r="D106" s="872" t="str">
        <f>IF(OR(ISERROR($B106), $B106 = ""), "", IFERROR(INDEX('Summary of Results'!H:H, MATCH($A106, 'Summary of Results'!$A:$A, 0)), NA()))</f>
        <v/>
      </c>
      <c r="E106" s="872" t="str">
        <f>IF(OR(ISERROR($B106), $B106 = ""), "", IFERROR(INDEX('Summary of Results'!I:I, MATCH($A106, 'Summary of Results'!$A:$A, 0)), NA()))</f>
        <v/>
      </c>
      <c r="F106" s="872" t="str">
        <f>IF(OR(ISERROR($B106), $B106 = ""), "", IFERROR(INDEX('Summary of Results'!J:J, MATCH($A106, 'Summary of Results'!$A:$A, 0)), NA()))</f>
        <v/>
      </c>
      <c r="G106" s="872" t="str">
        <f>IF(OR(ISERROR($B106), $B106 = ""), "", IFERROR(INDEX('Summary of Results'!K:K, MATCH($A106, 'Summary of Results'!$A:$A, 0)), NA()))</f>
        <v/>
      </c>
      <c r="H106" s="872" t="str">
        <f>IF(OR(ISERROR($B106), $B106 = ""), "", IFERROR(INDEX('Summary of Results'!L:L, MATCH($A106, 'Summary of Results'!$A:$A, 0)), NA()))</f>
        <v/>
      </c>
      <c r="I106" s="873" t="str">
        <f>IF(OR(ISERROR($B106), $B106 = ""), "", IFERROR(INDEX('Summary of Results'!M:M, MATCH($A106, 'Summary of Results'!$A:$A, 0)), NA()))</f>
        <v/>
      </c>
      <c r="N106" s="769"/>
      <c r="O106" s="12"/>
      <c r="P106" s="12"/>
      <c r="Q106" s="12"/>
      <c r="R106" s="12"/>
      <c r="S106" s="12"/>
      <c r="T106" s="12"/>
      <c r="U106" s="12"/>
      <c r="V106" s="12"/>
      <c r="W106" s="12"/>
      <c r="X106" s="12"/>
      <c r="Y106" s="12"/>
      <c r="Z106" s="12"/>
      <c r="AA106" s="12"/>
      <c r="AB106" s="12"/>
      <c r="AC106" s="12"/>
      <c r="AD106" s="12"/>
      <c r="AE106" s="12"/>
      <c r="AF106" s="816">
        <v>100000</v>
      </c>
      <c r="AG106" s="816">
        <v>100000</v>
      </c>
      <c r="AH106" s="816">
        <v>100000</v>
      </c>
      <c r="AI106" s="816">
        <v>100000</v>
      </c>
      <c r="AJ106" s="816">
        <v>100000</v>
      </c>
      <c r="AK106" s="816">
        <v>100000</v>
      </c>
      <c r="AL106" s="816">
        <v>100000</v>
      </c>
      <c r="AM106" s="12"/>
      <c r="AN106" s="12"/>
      <c r="AO106" s="12"/>
      <c r="AP106" s="12"/>
      <c r="AQ106" s="12"/>
      <c r="AR106" s="12"/>
      <c r="AS106" s="12"/>
      <c r="AT106" s="12"/>
      <c r="AU106" s="770"/>
    </row>
    <row r="107" spans="1:47" ht="20">
      <c r="A107" s="733" t="str">
        <f>IF(ISERROR( Dashboard!C158), "", Dashboard!B158)</f>
        <v/>
      </c>
      <c r="B107" s="870" t="str">
        <f>IFERROR(INDEX('Summary of Results'!$B:$B, MATCH(A107, 'Summary of Results'!$A:$A, 0)), "")</f>
        <v/>
      </c>
      <c r="C107" s="871" t="str">
        <f>IF(OR(ISERROR($B107), $B107 = ""), "", IFERROR(INDEX('Summary of Results'!G:G, MATCH($A107, 'Summary of Results'!$A:$A, 0)), NA()))</f>
        <v/>
      </c>
      <c r="D107" s="872" t="str">
        <f>IF(OR(ISERROR($B107), $B107 = ""), "", IFERROR(INDEX('Summary of Results'!H:H, MATCH($A107, 'Summary of Results'!$A:$A, 0)), NA()))</f>
        <v/>
      </c>
      <c r="E107" s="872" t="str">
        <f>IF(OR(ISERROR($B107), $B107 = ""), "", IFERROR(INDEX('Summary of Results'!I:I, MATCH($A107, 'Summary of Results'!$A:$A, 0)), NA()))</f>
        <v/>
      </c>
      <c r="F107" s="872" t="str">
        <f>IF(OR(ISERROR($B107), $B107 = ""), "", IFERROR(INDEX('Summary of Results'!J:J, MATCH($A107, 'Summary of Results'!$A:$A, 0)), NA()))</f>
        <v/>
      </c>
      <c r="G107" s="872" t="str">
        <f>IF(OR(ISERROR($B107), $B107 = ""), "", IFERROR(INDEX('Summary of Results'!K:K, MATCH($A107, 'Summary of Results'!$A:$A, 0)), NA()))</f>
        <v/>
      </c>
      <c r="H107" s="872" t="str">
        <f>IF(OR(ISERROR($B107), $B107 = ""), "", IFERROR(INDEX('Summary of Results'!L:L, MATCH($A107, 'Summary of Results'!$A:$A, 0)), NA()))</f>
        <v/>
      </c>
      <c r="I107" s="873" t="str">
        <f>IF(OR(ISERROR($B107), $B107 = ""), "", IFERROR(INDEX('Summary of Results'!M:M, MATCH($A107, 'Summary of Results'!$A:$A, 0)), NA()))</f>
        <v/>
      </c>
      <c r="N107" s="769"/>
      <c r="O107" s="12"/>
      <c r="P107" s="12"/>
      <c r="Q107" s="12"/>
      <c r="R107" s="12"/>
      <c r="S107" s="12"/>
      <c r="T107" s="12"/>
      <c r="U107" s="12"/>
      <c r="V107" s="12"/>
      <c r="W107" s="12"/>
      <c r="X107" s="12"/>
      <c r="Y107" s="12"/>
      <c r="Z107" s="12"/>
      <c r="AA107" s="12"/>
      <c r="AB107" s="12"/>
      <c r="AC107" s="12"/>
      <c r="AD107" s="12"/>
      <c r="AE107" s="12"/>
      <c r="AF107" s="818">
        <v>250</v>
      </c>
      <c r="AG107" s="818">
        <v>250</v>
      </c>
      <c r="AH107" s="818">
        <v>250</v>
      </c>
      <c r="AI107" s="818">
        <v>250</v>
      </c>
      <c r="AJ107" s="818">
        <v>250</v>
      </c>
      <c r="AK107" s="818">
        <v>250</v>
      </c>
      <c r="AL107" s="818">
        <v>250</v>
      </c>
      <c r="AM107" s="12"/>
      <c r="AN107" s="12"/>
      <c r="AO107" s="12"/>
      <c r="AP107" s="12"/>
      <c r="AQ107" s="12"/>
      <c r="AR107" s="12"/>
      <c r="AS107" s="12"/>
      <c r="AT107" s="12"/>
      <c r="AU107" s="770"/>
    </row>
    <row r="108" spans="1:47" ht="20">
      <c r="A108" s="733" t="str">
        <f>IF(ISERROR( Dashboard!C159), "", Dashboard!B159)</f>
        <v/>
      </c>
      <c r="B108" s="870" t="str">
        <f>IFERROR(INDEX('Summary of Results'!$B:$B, MATCH(A108, 'Summary of Results'!$A:$A, 0)), "")</f>
        <v/>
      </c>
      <c r="C108" s="871" t="str">
        <f>IF(OR(ISERROR($B108), $B108 = ""), "", IFERROR(INDEX('Summary of Results'!G:G, MATCH($A108, 'Summary of Results'!$A:$A, 0)), NA()))</f>
        <v/>
      </c>
      <c r="D108" s="872" t="str">
        <f>IF(OR(ISERROR($B108), $B108 = ""), "", IFERROR(INDEX('Summary of Results'!H:H, MATCH($A108, 'Summary of Results'!$A:$A, 0)), NA()))</f>
        <v/>
      </c>
      <c r="E108" s="872" t="str">
        <f>IF(OR(ISERROR($B108), $B108 = ""), "", IFERROR(INDEX('Summary of Results'!I:I, MATCH($A108, 'Summary of Results'!$A:$A, 0)), NA()))</f>
        <v/>
      </c>
      <c r="F108" s="872" t="str">
        <f>IF(OR(ISERROR($B108), $B108 = ""), "", IFERROR(INDEX('Summary of Results'!J:J, MATCH($A108, 'Summary of Results'!$A:$A, 0)), NA()))</f>
        <v/>
      </c>
      <c r="G108" s="872" t="str">
        <f>IF(OR(ISERROR($B108), $B108 = ""), "", IFERROR(INDEX('Summary of Results'!K:K, MATCH($A108, 'Summary of Results'!$A:$A, 0)), NA()))</f>
        <v/>
      </c>
      <c r="H108" s="872" t="str">
        <f>IF(OR(ISERROR($B108), $B108 = ""), "", IFERROR(INDEX('Summary of Results'!L:L, MATCH($A108, 'Summary of Results'!$A:$A, 0)), NA()))</f>
        <v/>
      </c>
      <c r="I108" s="873" t="str">
        <f>IF(OR(ISERROR($B108), $B108 = ""), "", IFERROR(INDEX('Summary of Results'!M:M, MATCH($A108, 'Summary of Results'!$A:$A, 0)), NA()))</f>
        <v/>
      </c>
      <c r="N108" s="769"/>
      <c r="O108" s="12"/>
      <c r="P108" s="12"/>
      <c r="Q108" s="12"/>
      <c r="R108" s="12"/>
      <c r="S108" s="12"/>
      <c r="T108" s="12"/>
      <c r="U108" s="12"/>
      <c r="V108" s="12"/>
      <c r="W108" s="12"/>
      <c r="X108" s="12"/>
      <c r="Y108" s="12"/>
      <c r="Z108" s="12"/>
      <c r="AA108" s="12"/>
      <c r="AB108" s="12"/>
      <c r="AC108" s="12"/>
      <c r="AD108" s="12"/>
      <c r="AE108" s="12"/>
      <c r="AF108" s="820"/>
      <c r="AG108" s="820"/>
      <c r="AH108" s="820"/>
      <c r="AI108" s="820"/>
      <c r="AJ108" s="820"/>
      <c r="AK108" s="820"/>
      <c r="AL108" s="820"/>
      <c r="AM108" s="12"/>
      <c r="AN108" s="12"/>
      <c r="AO108" s="12"/>
      <c r="AP108" s="12"/>
      <c r="AQ108" s="12"/>
      <c r="AR108" s="12"/>
      <c r="AS108" s="12"/>
      <c r="AT108" s="12"/>
      <c r="AU108" s="770"/>
    </row>
    <row r="109" spans="1:47" ht="20">
      <c r="A109" s="733" t="str">
        <f>IF(ISERROR( Dashboard!C160), "", Dashboard!B160)</f>
        <v/>
      </c>
      <c r="B109" s="870" t="str">
        <f>IFERROR(INDEX('Summary of Results'!$B:$B, MATCH(A109, 'Summary of Results'!$A:$A, 0)), "")</f>
        <v/>
      </c>
      <c r="C109" s="871" t="str">
        <f>IF(OR(ISERROR($B109), $B109 = ""), "", IFERROR(INDEX('Summary of Results'!G:G, MATCH($A109, 'Summary of Results'!$A:$A, 0)), NA()))</f>
        <v/>
      </c>
      <c r="D109" s="872" t="str">
        <f>IF(OR(ISERROR($B109), $B109 = ""), "", IFERROR(INDEX('Summary of Results'!H:H, MATCH($A109, 'Summary of Results'!$A:$A, 0)), NA()))</f>
        <v/>
      </c>
      <c r="E109" s="872" t="str">
        <f>IF(OR(ISERROR($B109), $B109 = ""), "", IFERROR(INDEX('Summary of Results'!I:I, MATCH($A109, 'Summary of Results'!$A:$A, 0)), NA()))</f>
        <v/>
      </c>
      <c r="F109" s="872" t="str">
        <f>IF(OR(ISERROR($B109), $B109 = ""), "", IFERROR(INDEX('Summary of Results'!J:J, MATCH($A109, 'Summary of Results'!$A:$A, 0)), NA()))</f>
        <v/>
      </c>
      <c r="G109" s="872" t="str">
        <f>IF(OR(ISERROR($B109), $B109 = ""), "", IFERROR(INDEX('Summary of Results'!K:K, MATCH($A109, 'Summary of Results'!$A:$A, 0)), NA()))</f>
        <v/>
      </c>
      <c r="H109" s="872" t="str">
        <f>IF(OR(ISERROR($B109), $B109 = ""), "", IFERROR(INDEX('Summary of Results'!L:L, MATCH($A109, 'Summary of Results'!$A:$A, 0)), NA()))</f>
        <v/>
      </c>
      <c r="I109" s="873" t="str">
        <f>IF(OR(ISERROR($B109), $B109 = ""), "", IFERROR(INDEX('Summary of Results'!M:M, MATCH($A109, 'Summary of Results'!$A:$A, 0)), NA()))</f>
        <v/>
      </c>
      <c r="N109" s="769"/>
      <c r="O109" s="12"/>
      <c r="P109" s="12"/>
      <c r="Q109" s="12"/>
      <c r="R109" s="12"/>
      <c r="S109" s="12"/>
      <c r="T109" s="12"/>
      <c r="U109" s="12"/>
      <c r="V109" s="12"/>
      <c r="W109" s="12"/>
      <c r="X109" s="12"/>
      <c r="Y109" s="12"/>
      <c r="Z109" s="12"/>
      <c r="AA109" s="12"/>
      <c r="AB109" s="12"/>
      <c r="AC109" s="12"/>
      <c r="AD109" s="12"/>
      <c r="AE109" s="12"/>
      <c r="AF109" s="822"/>
      <c r="AG109" s="822"/>
      <c r="AH109" s="822"/>
      <c r="AI109" s="822"/>
      <c r="AJ109" s="822"/>
      <c r="AK109" s="822"/>
      <c r="AL109" s="822"/>
      <c r="AM109" s="12"/>
      <c r="AN109" s="12"/>
      <c r="AO109" s="12"/>
      <c r="AP109" s="12"/>
      <c r="AQ109" s="12"/>
      <c r="AR109" s="12"/>
      <c r="AS109" s="12"/>
      <c r="AT109" s="12"/>
      <c r="AU109" s="770"/>
    </row>
    <row r="110" spans="1:47" ht="20">
      <c r="A110" s="733" t="str">
        <f>IF(ISERROR( Dashboard!C161), "", Dashboard!B161)</f>
        <v/>
      </c>
      <c r="B110" s="870" t="str">
        <f>IFERROR(INDEX('Summary of Results'!$B:$B, MATCH(A110, 'Summary of Results'!$A:$A, 0)), "")</f>
        <v/>
      </c>
      <c r="C110" s="871" t="str">
        <f>IF(OR(ISERROR($B110), $B110 = ""), "", IFERROR(INDEX('Summary of Results'!G:G, MATCH($A110, 'Summary of Results'!$A:$A, 0)), NA()))</f>
        <v/>
      </c>
      <c r="D110" s="872" t="str">
        <f>IF(OR(ISERROR($B110), $B110 = ""), "", IFERROR(INDEX('Summary of Results'!H:H, MATCH($A110, 'Summary of Results'!$A:$A, 0)), NA()))</f>
        <v/>
      </c>
      <c r="E110" s="872" t="str">
        <f>IF(OR(ISERROR($B110), $B110 = ""), "", IFERROR(INDEX('Summary of Results'!I:I, MATCH($A110, 'Summary of Results'!$A:$A, 0)), NA()))</f>
        <v/>
      </c>
      <c r="F110" s="872" t="str">
        <f>IF(OR(ISERROR($B110), $B110 = ""), "", IFERROR(INDEX('Summary of Results'!J:J, MATCH($A110, 'Summary of Results'!$A:$A, 0)), NA()))</f>
        <v/>
      </c>
      <c r="G110" s="872" t="str">
        <f>IF(OR(ISERROR($B110), $B110 = ""), "", IFERROR(INDEX('Summary of Results'!K:K, MATCH($A110, 'Summary of Results'!$A:$A, 0)), NA()))</f>
        <v/>
      </c>
      <c r="H110" s="872" t="str">
        <f>IF(OR(ISERROR($B110), $B110 = ""), "", IFERROR(INDEX('Summary of Results'!L:L, MATCH($A110, 'Summary of Results'!$A:$A, 0)), NA()))</f>
        <v/>
      </c>
      <c r="I110" s="873" t="str">
        <f>IF(OR(ISERROR($B110), $B110 = ""), "", IFERROR(INDEX('Summary of Results'!M:M, MATCH($A110, 'Summary of Results'!$A:$A, 0)), NA()))</f>
        <v/>
      </c>
      <c r="N110" s="769"/>
      <c r="O110" s="12"/>
      <c r="P110" s="12"/>
      <c r="Q110" s="12"/>
      <c r="R110" s="12"/>
      <c r="S110" s="12"/>
      <c r="T110" s="12"/>
      <c r="U110" s="12"/>
      <c r="V110" s="12"/>
      <c r="W110" s="12"/>
      <c r="X110" s="12"/>
      <c r="Y110" s="12"/>
      <c r="Z110" s="12"/>
      <c r="AA110" s="12"/>
      <c r="AB110" s="12"/>
      <c r="AC110" s="12"/>
      <c r="AD110" s="12"/>
      <c r="AE110" s="12"/>
      <c r="AF110" s="824"/>
      <c r="AG110" s="824"/>
      <c r="AH110" s="824"/>
      <c r="AI110" s="824"/>
      <c r="AJ110" s="824"/>
      <c r="AK110" s="824"/>
      <c r="AL110" s="824"/>
      <c r="AM110" s="12"/>
      <c r="AN110" s="12"/>
      <c r="AO110" s="12"/>
      <c r="AP110" s="12"/>
      <c r="AQ110" s="12"/>
      <c r="AR110" s="12"/>
      <c r="AS110" s="12"/>
      <c r="AT110" s="12"/>
      <c r="AU110" s="770"/>
    </row>
    <row r="111" spans="1:47" ht="20">
      <c r="A111" s="733" t="str">
        <f>IF(ISERROR( Dashboard!C162), "", Dashboard!B162)</f>
        <v/>
      </c>
      <c r="B111" s="870" t="str">
        <f>IFERROR(INDEX('Summary of Results'!$B:$B, MATCH(A111, 'Summary of Results'!$A:$A, 0)), "")</f>
        <v/>
      </c>
      <c r="C111" s="871" t="str">
        <f>IF(OR(ISERROR($B111), $B111 = ""), "", IFERROR(INDEX('Summary of Results'!G:G, MATCH($A111, 'Summary of Results'!$A:$A, 0)), NA()))</f>
        <v/>
      </c>
      <c r="D111" s="872" t="str">
        <f>IF(OR(ISERROR($B111), $B111 = ""), "", IFERROR(INDEX('Summary of Results'!H:H, MATCH($A111, 'Summary of Results'!$A:$A, 0)), NA()))</f>
        <v/>
      </c>
      <c r="E111" s="872" t="str">
        <f>IF(OR(ISERROR($B111), $B111 = ""), "", IFERROR(INDEX('Summary of Results'!I:I, MATCH($A111, 'Summary of Results'!$A:$A, 0)), NA()))</f>
        <v/>
      </c>
      <c r="F111" s="872" t="str">
        <f>IF(OR(ISERROR($B111), $B111 = ""), "", IFERROR(INDEX('Summary of Results'!J:J, MATCH($A111, 'Summary of Results'!$A:$A, 0)), NA()))</f>
        <v/>
      </c>
      <c r="G111" s="872" t="str">
        <f>IF(OR(ISERROR($B111), $B111 = ""), "", IFERROR(INDEX('Summary of Results'!K:K, MATCH($A111, 'Summary of Results'!$A:$A, 0)), NA()))</f>
        <v/>
      </c>
      <c r="H111" s="872" t="str">
        <f>IF(OR(ISERROR($B111), $B111 = ""), "", IFERROR(INDEX('Summary of Results'!L:L, MATCH($A111, 'Summary of Results'!$A:$A, 0)), NA()))</f>
        <v/>
      </c>
      <c r="I111" s="873" t="str">
        <f>IF(OR(ISERROR($B111), $B111 = ""), "", IFERROR(INDEX('Summary of Results'!M:M, MATCH($A111, 'Summary of Results'!$A:$A, 0)), NA()))</f>
        <v/>
      </c>
      <c r="N111" s="769"/>
      <c r="O111" s="12"/>
      <c r="P111" s="12"/>
      <c r="Q111" s="12"/>
      <c r="R111" s="12"/>
      <c r="S111" s="12"/>
      <c r="T111" s="12"/>
      <c r="U111" s="12"/>
      <c r="V111" s="12"/>
      <c r="W111" s="12"/>
      <c r="X111" s="12"/>
      <c r="Y111" s="12"/>
      <c r="Z111" s="12"/>
      <c r="AA111" s="12"/>
      <c r="AB111" s="12"/>
      <c r="AC111" s="12"/>
      <c r="AD111" s="12"/>
      <c r="AE111" s="12"/>
      <c r="AF111" s="818">
        <v>180</v>
      </c>
      <c r="AG111" s="818">
        <v>180</v>
      </c>
      <c r="AH111" s="818">
        <v>180</v>
      </c>
      <c r="AI111" s="818">
        <v>180</v>
      </c>
      <c r="AJ111" s="818">
        <v>180</v>
      </c>
      <c r="AK111" s="818">
        <v>180</v>
      </c>
      <c r="AL111" s="818">
        <v>180</v>
      </c>
      <c r="AM111" s="12"/>
      <c r="AN111" s="12"/>
      <c r="AO111" s="12"/>
      <c r="AP111" s="12"/>
      <c r="AQ111" s="12"/>
      <c r="AR111" s="12"/>
      <c r="AS111" s="12"/>
      <c r="AT111" s="12"/>
      <c r="AU111" s="770"/>
    </row>
    <row r="112" spans="1:47" ht="20">
      <c r="A112" s="733" t="str">
        <f>IF(ISERROR( Dashboard!C163), "", Dashboard!B163)</f>
        <v/>
      </c>
      <c r="B112" s="870" t="str">
        <f>IFERROR(INDEX('Summary of Results'!$B:$B, MATCH(A112, 'Summary of Results'!$A:$A, 0)), "")</f>
        <v/>
      </c>
      <c r="C112" s="871" t="str">
        <f>IF(OR(ISERROR($B112), $B112 = ""), "", IFERROR(INDEX('Summary of Results'!G:G, MATCH($A112, 'Summary of Results'!$A:$A, 0)), NA()))</f>
        <v/>
      </c>
      <c r="D112" s="872" t="str">
        <f>IF(OR(ISERROR($B112), $B112 = ""), "", IFERROR(INDEX('Summary of Results'!H:H, MATCH($A112, 'Summary of Results'!$A:$A, 0)), NA()))</f>
        <v/>
      </c>
      <c r="E112" s="872" t="str">
        <f>IF(OR(ISERROR($B112), $B112 = ""), "", IFERROR(INDEX('Summary of Results'!I:I, MATCH($A112, 'Summary of Results'!$A:$A, 0)), NA()))</f>
        <v/>
      </c>
      <c r="F112" s="872" t="str">
        <f>IF(OR(ISERROR($B112), $B112 = ""), "", IFERROR(INDEX('Summary of Results'!J:J, MATCH($A112, 'Summary of Results'!$A:$A, 0)), NA()))</f>
        <v/>
      </c>
      <c r="G112" s="872" t="str">
        <f>IF(OR(ISERROR($B112), $B112 = ""), "", IFERROR(INDEX('Summary of Results'!K:K, MATCH($A112, 'Summary of Results'!$A:$A, 0)), NA()))</f>
        <v/>
      </c>
      <c r="H112" s="872" t="str">
        <f>IF(OR(ISERROR($B112), $B112 = ""), "", IFERROR(INDEX('Summary of Results'!L:L, MATCH($A112, 'Summary of Results'!$A:$A, 0)), NA()))</f>
        <v/>
      </c>
      <c r="I112" s="873" t="str">
        <f>IF(OR(ISERROR($B112), $B112 = ""), "", IFERROR(INDEX('Summary of Results'!M:M, MATCH($A112, 'Summary of Results'!$A:$A, 0)), NA()))</f>
        <v/>
      </c>
      <c r="N112" s="769"/>
      <c r="O112" s="12"/>
      <c r="P112" s="12"/>
      <c r="Q112" s="12"/>
      <c r="R112" s="12"/>
      <c r="S112" s="12"/>
      <c r="T112" s="12"/>
      <c r="U112" s="12"/>
      <c r="V112" s="12"/>
      <c r="W112" s="12"/>
      <c r="X112" s="12"/>
      <c r="Y112" s="12"/>
      <c r="Z112" s="12"/>
      <c r="AA112" s="12"/>
      <c r="AB112" s="12"/>
      <c r="AC112" s="12"/>
      <c r="AD112" s="12"/>
      <c r="AE112" s="12"/>
      <c r="AF112" s="698"/>
      <c r="AG112" s="678"/>
      <c r="AH112" s="678"/>
      <c r="AI112" s="678"/>
      <c r="AJ112" s="678"/>
      <c r="AK112" s="678"/>
      <c r="AL112" s="657"/>
      <c r="AM112" s="12"/>
      <c r="AN112" s="12"/>
      <c r="AO112" s="12"/>
      <c r="AP112" s="12"/>
      <c r="AQ112" s="12"/>
      <c r="AR112" s="12"/>
      <c r="AS112" s="12"/>
      <c r="AT112" s="12"/>
      <c r="AU112" s="770"/>
    </row>
    <row r="113" spans="1:47" ht="23">
      <c r="A113" s="733" t="str">
        <f>IF(ISERROR( Dashboard!C164), "", Dashboard!B164)</f>
        <v/>
      </c>
      <c r="B113" s="870" t="str">
        <f>IFERROR(INDEX('Summary of Results'!$B:$B, MATCH(A113, 'Summary of Results'!$A:$A, 0)), "")</f>
        <v/>
      </c>
      <c r="C113" s="871" t="str">
        <f>IF(OR(ISERROR($B113), $B113 = ""), "", IFERROR(INDEX('Summary of Results'!G:G, MATCH($A113, 'Summary of Results'!$A:$A, 0)), NA()))</f>
        <v/>
      </c>
      <c r="D113" s="872" t="str">
        <f>IF(OR(ISERROR($B113), $B113 = ""), "", IFERROR(INDEX('Summary of Results'!H:H, MATCH($A113, 'Summary of Results'!$A:$A, 0)), NA()))</f>
        <v/>
      </c>
      <c r="E113" s="872" t="str">
        <f>IF(OR(ISERROR($B113), $B113 = ""), "", IFERROR(INDEX('Summary of Results'!I:I, MATCH($A113, 'Summary of Results'!$A:$A, 0)), NA()))</f>
        <v/>
      </c>
      <c r="F113" s="872" t="str">
        <f>IF(OR(ISERROR($B113), $B113 = ""), "", IFERROR(INDEX('Summary of Results'!J:J, MATCH($A113, 'Summary of Results'!$A:$A, 0)), NA()))</f>
        <v/>
      </c>
      <c r="G113" s="872" t="str">
        <f>IF(OR(ISERROR($B113), $B113 = ""), "", IFERROR(INDEX('Summary of Results'!K:K, MATCH($A113, 'Summary of Results'!$A:$A, 0)), NA()))</f>
        <v/>
      </c>
      <c r="H113" s="872" t="str">
        <f>IF(OR(ISERROR($B113), $B113 = ""), "", IFERROR(INDEX('Summary of Results'!L:L, MATCH($A113, 'Summary of Results'!$A:$A, 0)), NA()))</f>
        <v/>
      </c>
      <c r="I113" s="873" t="str">
        <f>IF(OR(ISERROR($B113), $B113 = ""), "", IFERROR(INDEX('Summary of Results'!M:M, MATCH($A113, 'Summary of Results'!$A:$A, 0)), NA()))</f>
        <v/>
      </c>
      <c r="N113" s="769"/>
      <c r="O113" s="12"/>
      <c r="P113" s="12"/>
      <c r="Q113" s="12"/>
      <c r="R113" s="12"/>
      <c r="S113" s="12"/>
      <c r="T113" s="12"/>
      <c r="U113" s="12"/>
      <c r="V113" s="12"/>
      <c r="W113" s="12"/>
      <c r="X113" s="12"/>
      <c r="Y113" s="12"/>
      <c r="Z113" s="12"/>
      <c r="AA113" s="12"/>
      <c r="AB113" s="12"/>
      <c r="AC113" s="12"/>
      <c r="AD113" s="12"/>
      <c r="AE113" s="12"/>
      <c r="AF113" s="735">
        <v>10</v>
      </c>
      <c r="AG113" s="735">
        <v>15</v>
      </c>
      <c r="AH113" s="735">
        <v>20</v>
      </c>
      <c r="AI113" s="735">
        <v>25</v>
      </c>
      <c r="AJ113" s="735">
        <v>30</v>
      </c>
      <c r="AK113" s="735">
        <v>35</v>
      </c>
      <c r="AL113" s="735">
        <v>40</v>
      </c>
      <c r="AM113" s="12"/>
      <c r="AN113" s="12"/>
      <c r="AO113" s="12"/>
      <c r="AP113" s="12"/>
      <c r="AQ113" s="12"/>
      <c r="AR113" s="12"/>
      <c r="AS113" s="12"/>
      <c r="AT113" s="12"/>
      <c r="AU113" s="770"/>
    </row>
    <row r="114" spans="1:47" ht="20">
      <c r="A114" s="733" t="str">
        <f>IF(ISERROR( Dashboard!C165), "", Dashboard!B165)</f>
        <v/>
      </c>
      <c r="B114" s="870" t="str">
        <f>IFERROR(INDEX('Summary of Results'!$B:$B, MATCH(A114, 'Summary of Results'!$A:$A, 0)), "")</f>
        <v/>
      </c>
      <c r="C114" s="871" t="str">
        <f>IF(OR(ISERROR($B114), $B114 = ""), "", IFERROR(INDEX('Summary of Results'!G:G, MATCH($A114, 'Summary of Results'!$A:$A, 0)), NA()))</f>
        <v/>
      </c>
      <c r="D114" s="872" t="str">
        <f>IF(OR(ISERROR($B114), $B114 = ""), "", IFERROR(INDEX('Summary of Results'!H:H, MATCH($A114, 'Summary of Results'!$A:$A, 0)), NA()))</f>
        <v/>
      </c>
      <c r="E114" s="872" t="str">
        <f>IF(OR(ISERROR($B114), $B114 = ""), "", IFERROR(INDEX('Summary of Results'!I:I, MATCH($A114, 'Summary of Results'!$A:$A, 0)), NA()))</f>
        <v/>
      </c>
      <c r="F114" s="872" t="str">
        <f>IF(OR(ISERROR($B114), $B114 = ""), "", IFERROR(INDEX('Summary of Results'!J:J, MATCH($A114, 'Summary of Results'!$A:$A, 0)), NA()))</f>
        <v/>
      </c>
      <c r="G114" s="872" t="str">
        <f>IF(OR(ISERROR($B114), $B114 = ""), "", IFERROR(INDEX('Summary of Results'!K:K, MATCH($A114, 'Summary of Results'!$A:$A, 0)), NA()))</f>
        <v/>
      </c>
      <c r="H114" s="872" t="str">
        <f>IF(OR(ISERROR($B114), $B114 = ""), "", IFERROR(INDEX('Summary of Results'!L:L, MATCH($A114, 'Summary of Results'!$A:$A, 0)), NA()))</f>
        <v/>
      </c>
      <c r="I114" s="873" t="str">
        <f>IF(OR(ISERROR($B114), $B114 = ""), "", IFERROR(INDEX('Summary of Results'!M:M, MATCH($A114, 'Summary of Results'!$A:$A, 0)), NA()))</f>
        <v/>
      </c>
      <c r="N114" s="769"/>
      <c r="O114" s="12"/>
      <c r="P114" s="12"/>
      <c r="Q114" s="12"/>
      <c r="R114" s="12"/>
      <c r="S114" s="12"/>
      <c r="T114" s="12"/>
      <c r="U114" s="12"/>
      <c r="V114" s="12"/>
      <c r="W114" s="12"/>
      <c r="X114" s="12"/>
      <c r="Y114" s="12"/>
      <c r="Z114" s="12"/>
      <c r="AA114" s="12"/>
      <c r="AB114" s="12"/>
      <c r="AC114" s="12"/>
      <c r="AD114" s="12"/>
      <c r="AE114" s="12"/>
      <c r="AF114" s="769"/>
      <c r="AG114" s="12"/>
      <c r="AH114" s="12"/>
      <c r="AI114" s="12"/>
      <c r="AJ114" s="12"/>
      <c r="AK114" s="12"/>
      <c r="AL114" s="770"/>
      <c r="AM114" s="12"/>
      <c r="AN114" s="12"/>
      <c r="AO114" s="12"/>
      <c r="AP114" s="12"/>
      <c r="AQ114" s="12"/>
      <c r="AR114" s="12"/>
      <c r="AS114" s="12"/>
      <c r="AT114" s="12"/>
      <c r="AU114" s="770"/>
    </row>
    <row r="115" spans="1:47" ht="20">
      <c r="A115" s="733" t="str">
        <f>IF(ISERROR( Dashboard!C166), "", Dashboard!B166)</f>
        <v/>
      </c>
      <c r="B115" s="870" t="str">
        <f>IFERROR(INDEX('Summary of Results'!$B:$B, MATCH(A115, 'Summary of Results'!$A:$A, 0)), "")</f>
        <v/>
      </c>
      <c r="C115" s="871" t="str">
        <f>IF(OR(ISERROR($B115), $B115 = ""), "", IFERROR(INDEX('Summary of Results'!G:G, MATCH($A115, 'Summary of Results'!$A:$A, 0)), NA()))</f>
        <v/>
      </c>
      <c r="D115" s="872" t="str">
        <f>IF(OR(ISERROR($B115), $B115 = ""), "", IFERROR(INDEX('Summary of Results'!H:H, MATCH($A115, 'Summary of Results'!$A:$A, 0)), NA()))</f>
        <v/>
      </c>
      <c r="E115" s="872" t="str">
        <f>IF(OR(ISERROR($B115), $B115 = ""), "", IFERROR(INDEX('Summary of Results'!I:I, MATCH($A115, 'Summary of Results'!$A:$A, 0)), NA()))</f>
        <v/>
      </c>
      <c r="F115" s="872" t="str">
        <f>IF(OR(ISERROR($B115), $B115 = ""), "", IFERROR(INDEX('Summary of Results'!J:J, MATCH($A115, 'Summary of Results'!$A:$A, 0)), NA()))</f>
        <v/>
      </c>
      <c r="G115" s="872" t="str">
        <f>IF(OR(ISERROR($B115), $B115 = ""), "", IFERROR(INDEX('Summary of Results'!K:K, MATCH($A115, 'Summary of Results'!$A:$A, 0)), NA()))</f>
        <v/>
      </c>
      <c r="H115" s="872" t="str">
        <f>IF(OR(ISERROR($B115), $B115 = ""), "", IFERROR(INDEX('Summary of Results'!L:L, MATCH($A115, 'Summary of Results'!$A:$A, 0)), NA()))</f>
        <v/>
      </c>
      <c r="I115" s="873" t="str">
        <f>IF(OR(ISERROR($B115), $B115 = ""), "", IFERROR(INDEX('Summary of Results'!M:M, MATCH($A115, 'Summary of Results'!$A:$A, 0)), NA()))</f>
        <v/>
      </c>
      <c r="N115" s="769"/>
      <c r="O115" s="12"/>
      <c r="P115" s="12"/>
      <c r="Q115" s="12"/>
      <c r="R115" s="12"/>
      <c r="S115" s="12"/>
      <c r="T115" s="12"/>
      <c r="U115" s="12"/>
      <c r="V115" s="12"/>
      <c r="W115" s="12"/>
      <c r="X115" s="12"/>
      <c r="Y115" s="12"/>
      <c r="Z115" s="12"/>
      <c r="AA115" s="12"/>
      <c r="AB115" s="12"/>
      <c r="AC115" s="12"/>
      <c r="AD115" s="12"/>
      <c r="AE115" s="12"/>
      <c r="AF115" s="769"/>
      <c r="AG115" s="12"/>
      <c r="AH115" s="12"/>
      <c r="AI115" s="12"/>
      <c r="AJ115" s="12"/>
      <c r="AK115" s="12"/>
      <c r="AL115" s="770"/>
      <c r="AM115" s="12"/>
      <c r="AN115" s="12"/>
      <c r="AO115" s="12"/>
      <c r="AP115" s="12"/>
      <c r="AQ115" s="12"/>
      <c r="AR115" s="12"/>
      <c r="AS115" s="12"/>
      <c r="AT115" s="12"/>
      <c r="AU115" s="770"/>
    </row>
    <row r="116" spans="1:47" ht="21" thickBot="1">
      <c r="A116" s="733" t="str">
        <f>IF(ISERROR( Dashboard!C167), "", Dashboard!B167)</f>
        <v/>
      </c>
      <c r="B116" s="870" t="str">
        <f>IFERROR(INDEX('Summary of Results'!$B:$B, MATCH(A116, 'Summary of Results'!$A:$A, 0)), "")</f>
        <v/>
      </c>
      <c r="C116" s="871" t="str">
        <f>IF(OR(ISERROR($B116), $B116 = ""), "", IFERROR(INDEX('Summary of Results'!G:G, MATCH($A116, 'Summary of Results'!$A:$A, 0)), NA()))</f>
        <v/>
      </c>
      <c r="D116" s="872" t="str">
        <f>IF(OR(ISERROR($B116), $B116 = ""), "", IFERROR(INDEX('Summary of Results'!H:H, MATCH($A116, 'Summary of Results'!$A:$A, 0)), NA()))</f>
        <v/>
      </c>
      <c r="E116" s="872" t="str">
        <f>IF(OR(ISERROR($B116), $B116 = ""), "", IFERROR(INDEX('Summary of Results'!I:I, MATCH($A116, 'Summary of Results'!$A:$A, 0)), NA()))</f>
        <v/>
      </c>
      <c r="F116" s="872" t="str">
        <f>IF(OR(ISERROR($B116), $B116 = ""), "", IFERROR(INDEX('Summary of Results'!J:J, MATCH($A116, 'Summary of Results'!$A:$A, 0)), NA()))</f>
        <v/>
      </c>
      <c r="G116" s="872" t="str">
        <f>IF(OR(ISERROR($B116), $B116 = ""), "", IFERROR(INDEX('Summary of Results'!K:K, MATCH($A116, 'Summary of Results'!$A:$A, 0)), NA()))</f>
        <v/>
      </c>
      <c r="H116" s="872" t="str">
        <f>IF(OR(ISERROR($B116), $B116 = ""), "", IFERROR(INDEX('Summary of Results'!L:L, MATCH($A116, 'Summary of Results'!$A:$A, 0)), NA()))</f>
        <v/>
      </c>
      <c r="I116" s="873" t="str">
        <f>IF(OR(ISERROR($B116), $B116 = ""), "", IFERROR(INDEX('Summary of Results'!M:M, MATCH($A116, 'Summary of Results'!$A:$A, 0)), NA()))</f>
        <v/>
      </c>
      <c r="N116" s="769"/>
      <c r="O116" s="12"/>
      <c r="P116" s="12"/>
      <c r="Q116" s="12"/>
      <c r="R116" s="12"/>
      <c r="S116" s="12"/>
      <c r="T116" s="12"/>
      <c r="U116" s="12"/>
      <c r="V116" s="12"/>
      <c r="W116" s="12"/>
      <c r="X116" s="12"/>
      <c r="Y116" s="12"/>
      <c r="Z116" s="12"/>
      <c r="AA116" s="12"/>
      <c r="AB116" s="12"/>
      <c r="AC116" s="12"/>
      <c r="AD116" s="12"/>
      <c r="AE116" s="12"/>
      <c r="AF116" s="828"/>
      <c r="AG116" s="75"/>
      <c r="AH116" s="75"/>
      <c r="AI116" s="75"/>
      <c r="AJ116" s="75"/>
      <c r="AK116" s="75"/>
      <c r="AL116" s="829"/>
      <c r="AM116" s="12"/>
      <c r="AN116" s="12"/>
      <c r="AO116" s="12"/>
      <c r="AP116" s="12"/>
      <c r="AQ116" s="12"/>
      <c r="AR116" s="12"/>
      <c r="AS116" s="12"/>
      <c r="AT116" s="12"/>
      <c r="AU116" s="770"/>
    </row>
    <row r="117" spans="1:47" ht="20">
      <c r="A117" s="733" t="str">
        <f>IF(ISERROR( Dashboard!C168), "", Dashboard!B168)</f>
        <v/>
      </c>
      <c r="B117" s="870" t="str">
        <f>IFERROR(INDEX('Summary of Results'!$B:$B, MATCH(A117, 'Summary of Results'!$A:$A, 0)), "")</f>
        <v/>
      </c>
      <c r="C117" s="871" t="str">
        <f>IF(OR(ISERROR($B117), $B117 = ""), "", IFERROR(INDEX('Summary of Results'!G:G, MATCH($A117, 'Summary of Results'!$A:$A, 0)), NA()))</f>
        <v/>
      </c>
      <c r="D117" s="872" t="str">
        <f>IF(OR(ISERROR($B117), $B117 = ""), "", IFERROR(INDEX('Summary of Results'!H:H, MATCH($A117, 'Summary of Results'!$A:$A, 0)), NA()))</f>
        <v/>
      </c>
      <c r="E117" s="872" t="str">
        <f>IF(OR(ISERROR($B117), $B117 = ""), "", IFERROR(INDEX('Summary of Results'!I:I, MATCH($A117, 'Summary of Results'!$A:$A, 0)), NA()))</f>
        <v/>
      </c>
      <c r="F117" s="872" t="str">
        <f>IF(OR(ISERROR($B117), $B117 = ""), "", IFERROR(INDEX('Summary of Results'!J:J, MATCH($A117, 'Summary of Results'!$A:$A, 0)), NA()))</f>
        <v/>
      </c>
      <c r="G117" s="872" t="str">
        <f>IF(OR(ISERROR($B117), $B117 = ""), "", IFERROR(INDEX('Summary of Results'!K:K, MATCH($A117, 'Summary of Results'!$A:$A, 0)), NA()))</f>
        <v/>
      </c>
      <c r="H117" s="872" t="str">
        <f>IF(OR(ISERROR($B117), $B117 = ""), "", IFERROR(INDEX('Summary of Results'!L:L, MATCH($A117, 'Summary of Results'!$A:$A, 0)), NA()))</f>
        <v/>
      </c>
      <c r="I117" s="873" t="str">
        <f>IF(OR(ISERROR($B117), $B117 = ""), "", IFERROR(INDEX('Summary of Results'!M:M, MATCH($A117, 'Summary of Results'!$A:$A, 0)), NA()))</f>
        <v/>
      </c>
      <c r="N117" s="769"/>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c r="AU117" s="770"/>
    </row>
    <row r="118" spans="1:47" ht="20">
      <c r="A118" s="733" t="str">
        <f>IF(ISERROR( Dashboard!C169), "", Dashboard!B169)</f>
        <v/>
      </c>
      <c r="B118" s="870" t="str">
        <f>IFERROR(INDEX('Summary of Results'!$B:$B, MATCH(A118, 'Summary of Results'!$A:$A, 0)), "")</f>
        <v/>
      </c>
      <c r="C118" s="871" t="str">
        <f>IF(OR(ISERROR($B118), $B118 = ""), "", IFERROR(INDEX('Summary of Results'!G:G, MATCH($A118, 'Summary of Results'!$A:$A, 0)), NA()))</f>
        <v/>
      </c>
      <c r="D118" s="872" t="str">
        <f>IF(OR(ISERROR($B118), $B118 = ""), "", IFERROR(INDEX('Summary of Results'!H:H, MATCH($A118, 'Summary of Results'!$A:$A, 0)), NA()))</f>
        <v/>
      </c>
      <c r="E118" s="872" t="str">
        <f>IF(OR(ISERROR($B118), $B118 = ""), "", IFERROR(INDEX('Summary of Results'!I:I, MATCH($A118, 'Summary of Results'!$A:$A, 0)), NA()))</f>
        <v/>
      </c>
      <c r="F118" s="872" t="str">
        <f>IF(OR(ISERROR($B118), $B118 = ""), "", IFERROR(INDEX('Summary of Results'!J:J, MATCH($A118, 'Summary of Results'!$A:$A, 0)), NA()))</f>
        <v/>
      </c>
      <c r="G118" s="872" t="str">
        <f>IF(OR(ISERROR($B118), $B118 = ""), "", IFERROR(INDEX('Summary of Results'!K:K, MATCH($A118, 'Summary of Results'!$A:$A, 0)), NA()))</f>
        <v/>
      </c>
      <c r="H118" s="872" t="str">
        <f>IF(OR(ISERROR($B118), $B118 = ""), "", IFERROR(INDEX('Summary of Results'!L:L, MATCH($A118, 'Summary of Results'!$A:$A, 0)), NA()))</f>
        <v/>
      </c>
      <c r="I118" s="873" t="str">
        <f>IF(OR(ISERROR($B118), $B118 = ""), "", IFERROR(INDEX('Summary of Results'!M:M, MATCH($A118, 'Summary of Results'!$A:$A, 0)), NA()))</f>
        <v/>
      </c>
      <c r="N118" s="769"/>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2"/>
      <c r="AN118" s="12"/>
      <c r="AO118" s="12"/>
      <c r="AP118" s="12"/>
      <c r="AQ118" s="12"/>
      <c r="AR118" s="12"/>
      <c r="AS118" s="12"/>
      <c r="AT118" s="12"/>
      <c r="AU118" s="770"/>
    </row>
    <row r="119" spans="1:47" ht="20">
      <c r="A119" s="733" t="str">
        <f>IF(ISERROR( Dashboard!C170), "", Dashboard!B170)</f>
        <v/>
      </c>
      <c r="B119" s="870" t="str">
        <f>IFERROR(INDEX('Summary of Results'!$B:$B, MATCH(A119, 'Summary of Results'!$A:$A, 0)), "")</f>
        <v/>
      </c>
      <c r="C119" s="871" t="str">
        <f>IF(OR(ISERROR($B119), $B119 = ""), "", IFERROR(INDEX('Summary of Results'!G:G, MATCH($A119, 'Summary of Results'!$A:$A, 0)), NA()))</f>
        <v/>
      </c>
      <c r="D119" s="872" t="str">
        <f>IF(OR(ISERROR($B119), $B119 = ""), "", IFERROR(INDEX('Summary of Results'!H:H, MATCH($A119, 'Summary of Results'!$A:$A, 0)), NA()))</f>
        <v/>
      </c>
      <c r="E119" s="872" t="str">
        <f>IF(OR(ISERROR($B119), $B119 = ""), "", IFERROR(INDEX('Summary of Results'!I:I, MATCH($A119, 'Summary of Results'!$A:$A, 0)), NA()))</f>
        <v/>
      </c>
      <c r="F119" s="872" t="str">
        <f>IF(OR(ISERROR($B119), $B119 = ""), "", IFERROR(INDEX('Summary of Results'!J:J, MATCH($A119, 'Summary of Results'!$A:$A, 0)), NA()))</f>
        <v/>
      </c>
      <c r="G119" s="872" t="str">
        <f>IF(OR(ISERROR($B119), $B119 = ""), "", IFERROR(INDEX('Summary of Results'!K:K, MATCH($A119, 'Summary of Results'!$A:$A, 0)), NA()))</f>
        <v/>
      </c>
      <c r="H119" s="872" t="str">
        <f>IF(OR(ISERROR($B119), $B119 = ""), "", IFERROR(INDEX('Summary of Results'!L:L, MATCH($A119, 'Summary of Results'!$A:$A, 0)), NA()))</f>
        <v/>
      </c>
      <c r="I119" s="873" t="str">
        <f>IF(OR(ISERROR($B119), $B119 = ""), "", IFERROR(INDEX('Summary of Results'!M:M, MATCH($A119, 'Summary of Results'!$A:$A, 0)), NA()))</f>
        <v/>
      </c>
      <c r="N119" s="769"/>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2"/>
      <c r="AN119" s="12"/>
      <c r="AO119" s="12"/>
      <c r="AP119" s="12"/>
      <c r="AQ119" s="12"/>
      <c r="AR119" s="12"/>
      <c r="AS119" s="12"/>
      <c r="AT119" s="12"/>
      <c r="AU119" s="770"/>
    </row>
    <row r="120" spans="1:47" ht="20">
      <c r="A120" s="733" t="str">
        <f>IF(ISERROR( Dashboard!C171), "", Dashboard!B171)</f>
        <v/>
      </c>
      <c r="B120" s="870" t="str">
        <f>IFERROR(INDEX('Summary of Results'!$B:$B, MATCH(A120, 'Summary of Results'!$A:$A, 0)), "")</f>
        <v/>
      </c>
      <c r="C120" s="871" t="str">
        <f>IF(OR(ISERROR($B120), $B120 = ""), "", IFERROR(INDEX('Summary of Results'!G:G, MATCH($A120, 'Summary of Results'!$A:$A, 0)), NA()))</f>
        <v/>
      </c>
      <c r="D120" s="872" t="str">
        <f>IF(OR(ISERROR($B120), $B120 = ""), "", IFERROR(INDEX('Summary of Results'!H:H, MATCH($A120, 'Summary of Results'!$A:$A, 0)), NA()))</f>
        <v/>
      </c>
      <c r="E120" s="872" t="str">
        <f>IF(OR(ISERROR($B120), $B120 = ""), "", IFERROR(INDEX('Summary of Results'!I:I, MATCH($A120, 'Summary of Results'!$A:$A, 0)), NA()))</f>
        <v/>
      </c>
      <c r="F120" s="872" t="str">
        <f>IF(OR(ISERROR($B120), $B120 = ""), "", IFERROR(INDEX('Summary of Results'!J:J, MATCH($A120, 'Summary of Results'!$A:$A, 0)), NA()))</f>
        <v/>
      </c>
      <c r="G120" s="872" t="str">
        <f>IF(OR(ISERROR($B120), $B120 = ""), "", IFERROR(INDEX('Summary of Results'!K:K, MATCH($A120, 'Summary of Results'!$A:$A, 0)), NA()))</f>
        <v/>
      </c>
      <c r="H120" s="872" t="str">
        <f>IF(OR(ISERROR($B120), $B120 = ""), "", IFERROR(INDEX('Summary of Results'!L:L, MATCH($A120, 'Summary of Results'!$A:$A, 0)), NA()))</f>
        <v/>
      </c>
      <c r="I120" s="873" t="str">
        <f>IF(OR(ISERROR($B120), $B120 = ""), "", IFERROR(INDEX('Summary of Results'!M:M, MATCH($A120, 'Summary of Results'!$A:$A, 0)), NA()))</f>
        <v/>
      </c>
      <c r="N120" s="769"/>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c r="AU120" s="770"/>
    </row>
    <row r="121" spans="1:47">
      <c r="B121" s="870" t="str">
        <f>IFERROR(INDEX('Summary of Results'!$B:$B, MATCH(A121, 'Summary of Results'!$A:$A, 0)), "")</f>
        <v/>
      </c>
      <c r="C121" s="871" t="str">
        <f>IF(OR(ISERROR($B121), $B121 = ""), "", IFERROR(INDEX('Summary of Results'!G:G, MATCH($A121, 'Summary of Results'!$A:$A, 0)), NA()))</f>
        <v/>
      </c>
      <c r="D121" s="872" t="str">
        <f>IF(OR(ISERROR($B121), $B121 = ""), "", IFERROR(INDEX('Summary of Results'!H:H, MATCH($A121, 'Summary of Results'!$A:$A, 0)), NA()))</f>
        <v/>
      </c>
      <c r="E121" s="872" t="str">
        <f>IF(OR(ISERROR($B121), $B121 = ""), "", IFERROR(INDEX('Summary of Results'!I:I, MATCH($A121, 'Summary of Results'!$A:$A, 0)), NA()))</f>
        <v/>
      </c>
      <c r="F121" s="872" t="str">
        <f>IF(OR(ISERROR($B121), $B121 = ""), "", IFERROR(INDEX('Summary of Results'!J:J, MATCH($A121, 'Summary of Results'!$A:$A, 0)), NA()))</f>
        <v/>
      </c>
      <c r="G121" s="872" t="str">
        <f>IF(OR(ISERROR($B121), $B121 = ""), "", IFERROR(INDEX('Summary of Results'!K:K, MATCH($A121, 'Summary of Results'!$A:$A, 0)), NA()))</f>
        <v/>
      </c>
      <c r="H121" s="872" t="str">
        <f>IF(OR(ISERROR($B121), $B121 = ""), "", IFERROR(INDEX('Summary of Results'!L:L, MATCH($A121, 'Summary of Results'!$A:$A, 0)), NA()))</f>
        <v/>
      </c>
      <c r="I121" s="873" t="str">
        <f>IF(OR(ISERROR($B121), $B121 = ""), "", IFERROR(INDEX('Summary of Results'!M:M, MATCH($A121, 'Summary of Results'!$A:$A, 0)), NA()))</f>
        <v/>
      </c>
      <c r="N121" s="769"/>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c r="AS121" s="12"/>
      <c r="AT121" s="12"/>
      <c r="AU121" s="770"/>
    </row>
    <row r="122" spans="1:47">
      <c r="B122" s="870" t="str">
        <f>IFERROR(INDEX('Summary of Results'!$B:$B, MATCH(A122, 'Summary of Results'!$A:$A, 0)), "")</f>
        <v/>
      </c>
      <c r="C122" s="871" t="str">
        <f>IF(OR(ISERROR($B122), $B122 = ""), "", IFERROR(INDEX('Summary of Results'!G:G, MATCH($A122, 'Summary of Results'!$A:$A, 0)), NA()))</f>
        <v/>
      </c>
      <c r="D122" s="872" t="str">
        <f>IF(OR(ISERROR($B122), $B122 = ""), "", IFERROR(INDEX('Summary of Results'!H:H, MATCH($A122, 'Summary of Results'!$A:$A, 0)), NA()))</f>
        <v/>
      </c>
      <c r="E122" s="872" t="str">
        <f>IF(OR(ISERROR($B122), $B122 = ""), "", IFERROR(INDEX('Summary of Results'!I:I, MATCH($A122, 'Summary of Results'!$A:$A, 0)), NA()))</f>
        <v/>
      </c>
      <c r="F122" s="872" t="str">
        <f>IF(OR(ISERROR($B122), $B122 = ""), "", IFERROR(INDEX('Summary of Results'!J:J, MATCH($A122, 'Summary of Results'!$A:$A, 0)), NA()))</f>
        <v/>
      </c>
      <c r="G122" s="872" t="str">
        <f>IF(OR(ISERROR($B122), $B122 = ""), "", IFERROR(INDEX('Summary of Results'!K:K, MATCH($A122, 'Summary of Results'!$A:$A, 0)), NA()))</f>
        <v/>
      </c>
      <c r="H122" s="872" t="str">
        <f>IF(OR(ISERROR($B122), $B122 = ""), "", IFERROR(INDEX('Summary of Results'!L:L, MATCH($A122, 'Summary of Results'!$A:$A, 0)), NA()))</f>
        <v/>
      </c>
      <c r="I122" s="873" t="str">
        <f>IF(OR(ISERROR($B122), $B122 = ""), "", IFERROR(INDEX('Summary of Results'!M:M, MATCH($A122, 'Summary of Results'!$A:$A, 0)), NA()))</f>
        <v/>
      </c>
      <c r="N122" s="769"/>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c r="AS122" s="12"/>
      <c r="AT122" s="12"/>
      <c r="AU122" s="770"/>
    </row>
    <row r="123" spans="1:47">
      <c r="B123" s="870" t="str">
        <f>IFERROR(INDEX('Summary of Results'!$B:$B, MATCH(A123, 'Summary of Results'!$A:$A, 0)), "")</f>
        <v/>
      </c>
      <c r="C123" s="871" t="str">
        <f>IF(OR(ISERROR($B123), $B123 = ""), "", IFERROR(INDEX('Summary of Results'!G:G, MATCH($A123, 'Summary of Results'!$A:$A, 0)), NA()))</f>
        <v/>
      </c>
      <c r="D123" s="872" t="str">
        <f>IF(OR(ISERROR($B123), $B123 = ""), "", IFERROR(INDEX('Summary of Results'!H:H, MATCH($A123, 'Summary of Results'!$A:$A, 0)), NA()))</f>
        <v/>
      </c>
      <c r="E123" s="872" t="str">
        <f>IF(OR(ISERROR($B123), $B123 = ""), "", IFERROR(INDEX('Summary of Results'!I:I, MATCH($A123, 'Summary of Results'!$A:$A, 0)), NA()))</f>
        <v/>
      </c>
      <c r="F123" s="872" t="str">
        <f>IF(OR(ISERROR($B123), $B123 = ""), "", IFERROR(INDEX('Summary of Results'!J:J, MATCH($A123, 'Summary of Results'!$A:$A, 0)), NA()))</f>
        <v/>
      </c>
      <c r="G123" s="872" t="str">
        <f>IF(OR(ISERROR($B123), $B123 = ""), "", IFERROR(INDEX('Summary of Results'!K:K, MATCH($A123, 'Summary of Results'!$A:$A, 0)), NA()))</f>
        <v/>
      </c>
      <c r="H123" s="872" t="str">
        <f>IF(OR(ISERROR($B123), $B123 = ""), "", IFERROR(INDEX('Summary of Results'!L:L, MATCH($A123, 'Summary of Results'!$A:$A, 0)), NA()))</f>
        <v/>
      </c>
      <c r="I123" s="873" t="str">
        <f>IF(OR(ISERROR($B123), $B123 = ""), "", IFERROR(INDEX('Summary of Results'!M:M, MATCH($A123, 'Summary of Results'!$A:$A, 0)), NA()))</f>
        <v/>
      </c>
      <c r="N123" s="769"/>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770"/>
    </row>
    <row r="124" spans="1:47">
      <c r="B124" s="870" t="str">
        <f>IFERROR(INDEX('Summary of Results'!$B:$B, MATCH(A124, 'Summary of Results'!$A:$A, 0)), "")</f>
        <v/>
      </c>
      <c r="C124" s="871" t="str">
        <f>IF(OR(ISERROR($B124), $B124 = ""), "", IFERROR(INDEX('Summary of Results'!G:G, MATCH($A124, 'Summary of Results'!$A:$A, 0)), NA()))</f>
        <v/>
      </c>
      <c r="D124" s="872" t="str">
        <f>IF(OR(ISERROR($B124), $B124 = ""), "", IFERROR(INDEX('Summary of Results'!H:H, MATCH($A124, 'Summary of Results'!$A:$A, 0)), NA()))</f>
        <v/>
      </c>
      <c r="E124" s="872" t="str">
        <f>IF(OR(ISERROR($B124), $B124 = ""), "", IFERROR(INDEX('Summary of Results'!I:I, MATCH($A124, 'Summary of Results'!$A:$A, 0)), NA()))</f>
        <v/>
      </c>
      <c r="F124" s="872" t="str">
        <f>IF(OR(ISERROR($B124), $B124 = ""), "", IFERROR(INDEX('Summary of Results'!J:J, MATCH($A124, 'Summary of Results'!$A:$A, 0)), NA()))</f>
        <v/>
      </c>
      <c r="G124" s="872" t="str">
        <f>IF(OR(ISERROR($B124), $B124 = ""), "", IFERROR(INDEX('Summary of Results'!K:K, MATCH($A124, 'Summary of Results'!$A:$A, 0)), NA()))</f>
        <v/>
      </c>
      <c r="H124" s="872" t="str">
        <f>IF(OR(ISERROR($B124), $B124 = ""), "", IFERROR(INDEX('Summary of Results'!L:L, MATCH($A124, 'Summary of Results'!$A:$A, 0)), NA()))</f>
        <v/>
      </c>
      <c r="I124" s="873" t="str">
        <f>IF(OR(ISERROR($B124), $B124 = ""), "", IFERROR(INDEX('Summary of Results'!M:M, MATCH($A124, 'Summary of Results'!$A:$A, 0)), NA()))</f>
        <v/>
      </c>
      <c r="N124" s="769"/>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770"/>
    </row>
    <row r="125" spans="1:47">
      <c r="N125" s="769"/>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770"/>
    </row>
    <row r="126" spans="1:47">
      <c r="N126" s="769"/>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770"/>
    </row>
    <row r="127" spans="1:47">
      <c r="N127" s="769"/>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770"/>
    </row>
    <row r="128" spans="1:47">
      <c r="N128" s="769"/>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770"/>
    </row>
    <row r="129" spans="14:47">
      <c r="N129" s="769"/>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770"/>
    </row>
    <row r="130" spans="14:47">
      <c r="N130" s="769"/>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770"/>
    </row>
    <row r="131" spans="14:47">
      <c r="N131" s="769"/>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770"/>
    </row>
    <row r="132" spans="14:47">
      <c r="N132" s="769"/>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770"/>
    </row>
    <row r="133" spans="14:47">
      <c r="N133" s="769"/>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770"/>
    </row>
    <row r="134" spans="14:47">
      <c r="N134" s="769"/>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770"/>
    </row>
    <row r="135" spans="14:47">
      <c r="N135" s="769"/>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770"/>
    </row>
    <row r="136" spans="14:47">
      <c r="N136" s="769"/>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770"/>
    </row>
    <row r="137" spans="14:47">
      <c r="N137" s="769"/>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770"/>
    </row>
    <row r="138" spans="14:47">
      <c r="N138" s="769"/>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770"/>
    </row>
    <row r="139" spans="14:47">
      <c r="N139" s="769"/>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770"/>
    </row>
    <row r="140" spans="14:47">
      <c r="N140" s="769"/>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770"/>
    </row>
    <row r="141" spans="14:47">
      <c r="N141" s="769"/>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770"/>
    </row>
    <row r="142" spans="14:47">
      <c r="N142" s="769"/>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770"/>
    </row>
    <row r="143" spans="14:47">
      <c r="N143" s="769"/>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770"/>
    </row>
    <row r="144" spans="14:47">
      <c r="N144" s="769"/>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770"/>
    </row>
    <row r="145" spans="14:47">
      <c r="N145" s="769"/>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770"/>
    </row>
    <row r="146" spans="14:47">
      <c r="N146" s="769"/>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c r="AS146" s="12"/>
      <c r="AT146" s="12"/>
      <c r="AU146" s="770"/>
    </row>
    <row r="147" spans="14:47">
      <c r="N147" s="769"/>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c r="AS147" s="12"/>
      <c r="AT147" s="12"/>
      <c r="AU147" s="770"/>
    </row>
    <row r="148" spans="14:47">
      <c r="N148" s="769"/>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c r="AS148" s="12"/>
      <c r="AT148" s="12"/>
      <c r="AU148" s="770"/>
    </row>
    <row r="149" spans="14:47">
      <c r="N149" s="769"/>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770"/>
    </row>
    <row r="150" spans="14:47">
      <c r="N150" s="769"/>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c r="AS150" s="12"/>
      <c r="AT150" s="12"/>
      <c r="AU150" s="770"/>
    </row>
    <row r="151" spans="14:47">
      <c r="N151" s="769"/>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c r="AS151" s="12"/>
      <c r="AT151" s="12"/>
      <c r="AU151" s="770"/>
    </row>
    <row r="152" spans="14:47">
      <c r="N152" s="769"/>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770"/>
    </row>
    <row r="153" spans="14:47">
      <c r="N153" s="769"/>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770"/>
    </row>
    <row r="154" spans="14:47">
      <c r="N154" s="769"/>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770"/>
    </row>
    <row r="155" spans="14:47">
      <c r="N155" s="769"/>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770"/>
    </row>
    <row r="156" spans="14:47">
      <c r="N156" s="769"/>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770"/>
    </row>
    <row r="157" spans="14:47">
      <c r="N157" s="769"/>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770"/>
    </row>
    <row r="158" spans="14:47">
      <c r="N158" s="769"/>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770"/>
    </row>
    <row r="159" spans="14:47">
      <c r="N159" s="769"/>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770"/>
    </row>
    <row r="160" spans="14:47">
      <c r="N160" s="769"/>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770"/>
    </row>
    <row r="161" spans="14:47">
      <c r="N161" s="769"/>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770"/>
    </row>
    <row r="162" spans="14:47">
      <c r="N162" s="769"/>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770"/>
    </row>
    <row r="163" spans="14:47">
      <c r="N163" s="769"/>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770"/>
    </row>
    <row r="164" spans="14:47">
      <c r="N164" s="769"/>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770"/>
    </row>
    <row r="165" spans="14:47">
      <c r="N165" s="769"/>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770"/>
    </row>
    <row r="166" spans="14:47">
      <c r="N166" s="769"/>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770"/>
    </row>
    <row r="167" spans="14:47">
      <c r="N167" s="769"/>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770"/>
    </row>
    <row r="168" spans="14:47">
      <c r="N168" s="769"/>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770"/>
    </row>
    <row r="169" spans="14:47">
      <c r="N169" s="769"/>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770"/>
    </row>
    <row r="170" spans="14:47">
      <c r="N170" s="769"/>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770"/>
    </row>
    <row r="171" spans="14:47">
      <c r="N171" s="769"/>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770"/>
    </row>
    <row r="172" spans="14:47">
      <c r="N172" s="769"/>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770"/>
    </row>
    <row r="173" spans="14:47">
      <c r="N173" s="769"/>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770"/>
    </row>
    <row r="174" spans="14:47">
      <c r="N174" s="769"/>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770"/>
    </row>
    <row r="175" spans="14:47">
      <c r="N175" s="769"/>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770"/>
    </row>
    <row r="176" spans="14:47">
      <c r="N176" s="769"/>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770"/>
    </row>
    <row r="177" spans="14:47">
      <c r="N177" s="769"/>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770"/>
    </row>
    <row r="178" spans="14:47">
      <c r="N178" s="769"/>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770"/>
    </row>
    <row r="179" spans="14:47">
      <c r="N179" s="769"/>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770"/>
    </row>
    <row r="180" spans="14:47">
      <c r="N180" s="769"/>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770"/>
    </row>
    <row r="181" spans="14:47">
      <c r="N181" s="769"/>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770"/>
    </row>
    <row r="182" spans="14:47">
      <c r="N182" s="769"/>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770"/>
    </row>
    <row r="183" spans="14:47">
      <c r="N183" s="769"/>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770"/>
    </row>
    <row r="184" spans="14:47">
      <c r="N184" s="769"/>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770"/>
    </row>
    <row r="185" spans="14:47">
      <c r="N185" s="769"/>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770"/>
    </row>
    <row r="186" spans="14:47">
      <c r="N186" s="769"/>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770"/>
    </row>
    <row r="187" spans="14:47">
      <c r="N187" s="769"/>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770"/>
    </row>
    <row r="188" spans="14:47">
      <c r="N188" s="769"/>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770"/>
    </row>
    <row r="189" spans="14:47">
      <c r="N189" s="769"/>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770"/>
    </row>
    <row r="190" spans="14:47">
      <c r="N190" s="769"/>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770"/>
    </row>
    <row r="191" spans="14:47">
      <c r="N191" s="769"/>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770"/>
    </row>
    <row r="192" spans="14:47">
      <c r="N192" s="769"/>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770"/>
    </row>
    <row r="193" spans="14:47">
      <c r="N193" s="769"/>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770"/>
    </row>
    <row r="194" spans="14:47">
      <c r="N194" s="769"/>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770"/>
    </row>
    <row r="195" spans="14:47">
      <c r="N195" s="769"/>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770"/>
    </row>
    <row r="196" spans="14:47">
      <c r="N196" s="769"/>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770"/>
    </row>
    <row r="197" spans="14:47">
      <c r="N197" s="769"/>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770"/>
    </row>
    <row r="198" spans="14:47">
      <c r="N198" s="769"/>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770"/>
    </row>
    <row r="199" spans="14:47">
      <c r="N199" s="769"/>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770"/>
    </row>
    <row r="200" spans="14:47">
      <c r="N200" s="769"/>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770"/>
    </row>
    <row r="201" spans="14:47">
      <c r="N201" s="769"/>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770"/>
    </row>
    <row r="202" spans="14:47">
      <c r="N202" s="769"/>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770"/>
    </row>
    <row r="203" spans="14:47">
      <c r="N203" s="769"/>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770"/>
    </row>
    <row r="204" spans="14:47">
      <c r="N204" s="769"/>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770"/>
    </row>
    <row r="205" spans="14:47">
      <c r="N205" s="769"/>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770"/>
    </row>
    <row r="206" spans="14:47">
      <c r="N206" s="769"/>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770"/>
    </row>
    <row r="207" spans="14:47">
      <c r="N207" s="769"/>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770"/>
    </row>
    <row r="208" spans="14:47">
      <c r="N208" s="769"/>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770"/>
    </row>
    <row r="209" spans="14:47">
      <c r="N209" s="769"/>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770"/>
    </row>
    <row r="210" spans="14:47">
      <c r="N210" s="769"/>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770"/>
    </row>
    <row r="211" spans="14:47">
      <c r="N211" s="769"/>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770"/>
    </row>
    <row r="212" spans="14:47">
      <c r="N212" s="769"/>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770"/>
    </row>
    <row r="213" spans="14:47">
      <c r="N213" s="769"/>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770"/>
    </row>
    <row r="214" spans="14:47">
      <c r="N214" s="769"/>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770"/>
    </row>
    <row r="215" spans="14:47">
      <c r="N215" s="769"/>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770"/>
    </row>
    <row r="216" spans="14:47">
      <c r="N216" s="769"/>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770"/>
    </row>
    <row r="217" spans="14:47">
      <c r="N217" s="769"/>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770"/>
    </row>
    <row r="218" spans="14:47">
      <c r="N218" s="769"/>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770"/>
    </row>
    <row r="219" spans="14:47">
      <c r="N219" s="769"/>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770"/>
    </row>
    <row r="220" spans="14:47">
      <c r="N220" s="769"/>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770"/>
    </row>
    <row r="221" spans="14:47">
      <c r="N221" s="769"/>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770"/>
    </row>
    <row r="222" spans="14:47">
      <c r="N222" s="769"/>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770"/>
    </row>
    <row r="223" spans="14:47">
      <c r="N223" s="769"/>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770"/>
    </row>
    <row r="224" spans="14:47">
      <c r="N224" s="769"/>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770"/>
    </row>
    <row r="225" spans="14:47">
      <c r="N225" s="769"/>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770"/>
    </row>
    <row r="226" spans="14:47">
      <c r="N226" s="769"/>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770"/>
    </row>
    <row r="227" spans="14:47">
      <c r="N227" s="769"/>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770"/>
    </row>
    <row r="228" spans="14:47">
      <c r="N228" s="769"/>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770"/>
    </row>
    <row r="229" spans="14:47">
      <c r="N229" s="769"/>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770"/>
    </row>
    <row r="230" spans="14:47">
      <c r="N230" s="769"/>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770"/>
    </row>
    <row r="231" spans="14:47">
      <c r="N231" s="769"/>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770"/>
    </row>
    <row r="232" spans="14:47">
      <c r="N232" s="769"/>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770"/>
    </row>
    <row r="233" spans="14:47">
      <c r="N233" s="769"/>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770"/>
    </row>
    <row r="234" spans="14:47">
      <c r="N234" s="769"/>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770"/>
    </row>
    <row r="235" spans="14:47">
      <c r="N235" s="769"/>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770"/>
    </row>
    <row r="236" spans="14:47">
      <c r="N236" s="769"/>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770"/>
    </row>
    <row r="237" spans="14:47">
      <c r="N237" s="769"/>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770"/>
    </row>
    <row r="238" spans="14:47">
      <c r="N238" s="769"/>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770"/>
    </row>
    <row r="239" spans="14:47">
      <c r="N239" s="769"/>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770"/>
    </row>
    <row r="240" spans="14:47">
      <c r="N240" s="769"/>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770"/>
    </row>
    <row r="241" spans="14:47">
      <c r="N241" s="769"/>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770"/>
    </row>
    <row r="242" spans="14:47">
      <c r="N242" s="769"/>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770"/>
    </row>
    <row r="243" spans="14:47">
      <c r="N243" s="769"/>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770"/>
    </row>
    <row r="244" spans="14:47">
      <c r="N244" s="769"/>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770"/>
    </row>
    <row r="245" spans="14:47">
      <c r="N245" s="769"/>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770"/>
    </row>
    <row r="246" spans="14:47">
      <c r="N246" s="769"/>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770"/>
    </row>
    <row r="247" spans="14:47">
      <c r="N247" s="769"/>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770"/>
    </row>
    <row r="248" spans="14:47">
      <c r="N248" s="769"/>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770"/>
    </row>
    <row r="249" spans="14:47">
      <c r="N249" s="769"/>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770"/>
    </row>
    <row r="250" spans="14:47">
      <c r="N250" s="769"/>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770"/>
    </row>
    <row r="251" spans="14:47">
      <c r="N251" s="769"/>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770"/>
    </row>
    <row r="252" spans="14:47">
      <c r="N252" s="769"/>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770"/>
    </row>
    <row r="253" spans="14:47">
      <c r="N253" s="769"/>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770"/>
    </row>
    <row r="254" spans="14:47">
      <c r="N254" s="769"/>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770"/>
    </row>
    <row r="255" spans="14:47">
      <c r="N255" s="769"/>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770"/>
    </row>
    <row r="256" spans="14:47">
      <c r="N256" s="769"/>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770"/>
    </row>
    <row r="257" spans="14:47">
      <c r="N257" s="769"/>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770"/>
    </row>
    <row r="258" spans="14:47">
      <c r="N258" s="769"/>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770"/>
    </row>
    <row r="259" spans="14:47">
      <c r="N259" s="769"/>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770"/>
    </row>
    <row r="260" spans="14:47">
      <c r="N260" s="769"/>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770"/>
    </row>
    <row r="261" spans="14:47">
      <c r="N261" s="769"/>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770"/>
    </row>
    <row r="262" spans="14:47">
      <c r="N262" s="769"/>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770"/>
    </row>
    <row r="263" spans="14:47">
      <c r="N263" s="769"/>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770"/>
    </row>
    <row r="264" spans="14:47">
      <c r="N264" s="769"/>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770"/>
    </row>
    <row r="265" spans="14:47">
      <c r="N265" s="769"/>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770"/>
    </row>
    <row r="266" spans="14:47">
      <c r="N266" s="769"/>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770"/>
    </row>
    <row r="267" spans="14:47">
      <c r="N267" s="769"/>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770"/>
    </row>
    <row r="268" spans="14:47">
      <c r="N268" s="769"/>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770"/>
    </row>
    <row r="269" spans="14:47">
      <c r="N269" s="769"/>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770"/>
    </row>
    <row r="270" spans="14:47">
      <c r="N270" s="769"/>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770"/>
    </row>
    <row r="271" spans="14:47">
      <c r="N271" s="769"/>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770"/>
    </row>
    <row r="272" spans="14:47">
      <c r="N272" s="769"/>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770"/>
    </row>
    <row r="273" spans="14:47">
      <c r="N273" s="769"/>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770"/>
    </row>
    <row r="274" spans="14:47">
      <c r="N274" s="769"/>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770"/>
    </row>
    <row r="275" spans="14:47">
      <c r="N275" s="769"/>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770"/>
    </row>
    <row r="276" spans="14:47">
      <c r="N276" s="769"/>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770"/>
    </row>
    <row r="277" spans="14:47">
      <c r="N277" s="769"/>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770"/>
    </row>
    <row r="278" spans="14:47">
      <c r="N278" s="769"/>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770"/>
    </row>
    <row r="279" spans="14:47">
      <c r="N279" s="769"/>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770"/>
    </row>
    <row r="280" spans="14:47">
      <c r="N280" s="769"/>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770"/>
    </row>
    <row r="281" spans="14:47">
      <c r="N281" s="769"/>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770"/>
    </row>
    <row r="282" spans="14:47">
      <c r="N282" s="769"/>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770"/>
    </row>
    <row r="283" spans="14:47">
      <c r="N283" s="769"/>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770"/>
    </row>
    <row r="284" spans="14:47">
      <c r="N284" s="769"/>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770"/>
    </row>
    <row r="285" spans="14:47">
      <c r="N285" s="769"/>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770"/>
    </row>
    <row r="286" spans="14:47">
      <c r="N286" s="769"/>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770"/>
    </row>
    <row r="287" spans="14:47">
      <c r="N287" s="769"/>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770"/>
    </row>
    <row r="288" spans="14:47">
      <c r="N288" s="769"/>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770"/>
    </row>
    <row r="289" spans="14:47">
      <c r="N289" s="769"/>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770"/>
    </row>
    <row r="290" spans="14:47">
      <c r="N290" s="769"/>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770"/>
    </row>
    <row r="291" spans="14:47">
      <c r="N291" s="769"/>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770"/>
    </row>
    <row r="292" spans="14:47">
      <c r="N292" s="769"/>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770"/>
    </row>
    <row r="293" spans="14:47">
      <c r="N293" s="769"/>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770"/>
    </row>
    <row r="294" spans="14:47">
      <c r="N294" s="769"/>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770"/>
    </row>
    <row r="295" spans="14:47">
      <c r="N295" s="769"/>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770"/>
    </row>
    <row r="296" spans="14:47">
      <c r="N296" s="769"/>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770"/>
    </row>
    <row r="297" spans="14:47">
      <c r="N297" s="769"/>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770"/>
    </row>
    <row r="298" spans="14:47">
      <c r="N298" s="769"/>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770"/>
    </row>
    <row r="299" spans="14:47">
      <c r="N299" s="769"/>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770"/>
    </row>
    <row r="300" spans="14:47">
      <c r="N300" s="769"/>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770"/>
    </row>
    <row r="301" spans="14:47">
      <c r="N301" s="769"/>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770"/>
    </row>
    <row r="302" spans="14:47">
      <c r="N302" s="769"/>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770"/>
    </row>
    <row r="303" spans="14:47">
      <c r="N303" s="769"/>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770"/>
    </row>
    <row r="304" spans="14:47">
      <c r="N304" s="769"/>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770"/>
    </row>
    <row r="305" spans="14:47">
      <c r="N305" s="769"/>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770"/>
    </row>
    <row r="306" spans="14:47">
      <c r="N306" s="769"/>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770"/>
    </row>
    <row r="307" spans="14:47">
      <c r="N307" s="769"/>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770"/>
    </row>
    <row r="308" spans="14:47">
      <c r="N308" s="769"/>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770"/>
    </row>
    <row r="309" spans="14:47">
      <c r="N309" s="769"/>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770"/>
    </row>
    <row r="310" spans="14:47">
      <c r="N310" s="769"/>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770"/>
    </row>
    <row r="311" spans="14:47">
      <c r="N311" s="769"/>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770"/>
    </row>
    <row r="312" spans="14:47">
      <c r="N312" s="769"/>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770"/>
    </row>
    <row r="313" spans="14:47">
      <c r="N313" s="769"/>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770"/>
    </row>
    <row r="314" spans="14:47">
      <c r="N314" s="769"/>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770"/>
    </row>
    <row r="315" spans="14:47">
      <c r="N315" s="769"/>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770"/>
    </row>
    <row r="316" spans="14:47">
      <c r="N316" s="769"/>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770"/>
    </row>
    <row r="317" spans="14:47">
      <c r="N317" s="769"/>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770"/>
    </row>
    <row r="318" spans="14:47">
      <c r="N318" s="769"/>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770"/>
    </row>
    <row r="319" spans="14:47">
      <c r="N319" s="769"/>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770"/>
    </row>
    <row r="320" spans="14:47">
      <c r="N320" s="769"/>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770"/>
    </row>
    <row r="321" spans="14:47">
      <c r="N321" s="769"/>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770"/>
    </row>
    <row r="322" spans="14:47">
      <c r="N322" s="769"/>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770"/>
    </row>
    <row r="323" spans="14:47">
      <c r="N323" s="769"/>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770"/>
    </row>
    <row r="324" spans="14:47">
      <c r="N324" s="769"/>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770"/>
    </row>
    <row r="325" spans="14:47">
      <c r="N325" s="769"/>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770"/>
    </row>
    <row r="326" spans="14:47">
      <c r="N326" s="769"/>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770"/>
    </row>
    <row r="327" spans="14:47">
      <c r="N327" s="769"/>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770"/>
    </row>
    <row r="328" spans="14:47">
      <c r="N328" s="769"/>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770"/>
    </row>
    <row r="329" spans="14:47">
      <c r="N329" s="769"/>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770"/>
    </row>
    <row r="330" spans="14:47">
      <c r="N330" s="769"/>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770"/>
    </row>
    <row r="331" spans="14:47">
      <c r="N331" s="769"/>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770"/>
    </row>
    <row r="332" spans="14:47">
      <c r="N332" s="769"/>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770"/>
    </row>
    <row r="333" spans="14:47">
      <c r="N333" s="769"/>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770"/>
    </row>
    <row r="334" spans="14:47">
      <c r="N334" s="769"/>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770"/>
    </row>
    <row r="335" spans="14:47">
      <c r="N335" s="769"/>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770"/>
    </row>
    <row r="336" spans="14:47">
      <c r="N336" s="769"/>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770"/>
    </row>
    <row r="337" spans="14:47">
      <c r="N337" s="769"/>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770"/>
    </row>
    <row r="338" spans="14:47">
      <c r="N338" s="769"/>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770"/>
    </row>
    <row r="339" spans="14:47">
      <c r="N339" s="769"/>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770"/>
    </row>
    <row r="340" spans="14:47">
      <c r="N340" s="769"/>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770"/>
    </row>
    <row r="341" spans="14:47">
      <c r="N341" s="769"/>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770"/>
    </row>
    <row r="342" spans="14:47">
      <c r="N342" s="769"/>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770"/>
    </row>
    <row r="343" spans="14:47">
      <c r="N343" s="769"/>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770"/>
    </row>
    <row r="344" spans="14:47">
      <c r="N344" s="769"/>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770"/>
    </row>
    <row r="345" spans="14:47">
      <c r="N345" s="769"/>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770"/>
    </row>
    <row r="346" spans="14:47">
      <c r="N346" s="769"/>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770"/>
    </row>
    <row r="347" spans="14:47">
      <c r="N347" s="769"/>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770"/>
    </row>
    <row r="348" spans="14:47">
      <c r="N348" s="769"/>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770"/>
    </row>
    <row r="349" spans="14:47">
      <c r="N349" s="769"/>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770"/>
    </row>
    <row r="350" spans="14:47">
      <c r="N350" s="769"/>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770"/>
    </row>
    <row r="351" spans="14:47">
      <c r="N351" s="769"/>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770"/>
    </row>
    <row r="352" spans="14:47">
      <c r="N352" s="769"/>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770"/>
    </row>
    <row r="353" spans="14:47">
      <c r="N353" s="769"/>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770"/>
    </row>
    <row r="354" spans="14:47">
      <c r="N354" s="769"/>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770"/>
    </row>
    <row r="355" spans="14:47">
      <c r="N355" s="769"/>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770"/>
    </row>
    <row r="356" spans="14:47">
      <c r="N356" s="769"/>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770"/>
    </row>
    <row r="357" spans="14:47">
      <c r="N357" s="769"/>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770"/>
    </row>
    <row r="358" spans="14:47">
      <c r="N358" s="769"/>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770"/>
    </row>
    <row r="359" spans="14:47">
      <c r="N359" s="769"/>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770"/>
    </row>
    <row r="360" spans="14:47">
      <c r="N360" s="769"/>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770"/>
    </row>
    <row r="361" spans="14:47">
      <c r="N361" s="769"/>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770"/>
    </row>
    <row r="362" spans="14:47">
      <c r="N362" s="769"/>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770"/>
    </row>
    <row r="363" spans="14:47">
      <c r="N363" s="769"/>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770"/>
    </row>
    <row r="364" spans="14:47">
      <c r="N364" s="769"/>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770"/>
    </row>
    <row r="365" spans="14:47">
      <c r="N365" s="769"/>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770"/>
    </row>
    <row r="366" spans="14:47">
      <c r="N366" s="769"/>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770"/>
    </row>
    <row r="367" spans="14:47">
      <c r="N367" s="769"/>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770"/>
    </row>
    <row r="368" spans="14:47">
      <c r="N368" s="769"/>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770"/>
    </row>
    <row r="369" spans="14:47">
      <c r="N369" s="769"/>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770"/>
    </row>
    <row r="370" spans="14:47">
      <c r="N370" s="769"/>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770"/>
    </row>
    <row r="371" spans="14:47">
      <c r="N371" s="769"/>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770"/>
    </row>
    <row r="372" spans="14:47">
      <c r="N372" s="769"/>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770"/>
    </row>
    <row r="373" spans="14:47">
      <c r="N373" s="769"/>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770"/>
    </row>
    <row r="374" spans="14:47">
      <c r="N374" s="769"/>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770"/>
    </row>
    <row r="375" spans="14:47">
      <c r="N375" s="769"/>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770"/>
    </row>
    <row r="376" spans="14:47">
      <c r="N376" s="769"/>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770"/>
    </row>
    <row r="377" spans="14:47">
      <c r="N377" s="769"/>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770"/>
    </row>
    <row r="378" spans="14:47">
      <c r="N378" s="769"/>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770"/>
    </row>
    <row r="379" spans="14:47">
      <c r="N379" s="769"/>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770"/>
    </row>
    <row r="380" spans="14:47">
      <c r="N380" s="769"/>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770"/>
    </row>
    <row r="381" spans="14:47">
      <c r="N381" s="769"/>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770"/>
    </row>
    <row r="382" spans="14:47">
      <c r="N382" s="769"/>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770"/>
    </row>
    <row r="383" spans="14:47">
      <c r="N383" s="769"/>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770"/>
    </row>
    <row r="384" spans="14:47">
      <c r="N384" s="769"/>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770"/>
    </row>
    <row r="385" spans="14:47">
      <c r="N385" s="769"/>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770"/>
    </row>
    <row r="386" spans="14:47">
      <c r="N386" s="769"/>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770"/>
    </row>
    <row r="387" spans="14:47">
      <c r="N387" s="769"/>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770"/>
    </row>
    <row r="388" spans="14:47">
      <c r="N388" s="769"/>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770"/>
    </row>
    <row r="389" spans="14:47">
      <c r="N389" s="769"/>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770"/>
    </row>
    <row r="390" spans="14:47">
      <c r="N390" s="769"/>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770"/>
    </row>
    <row r="391" spans="14:47">
      <c r="N391" s="769"/>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770"/>
    </row>
    <row r="392" spans="14:47">
      <c r="N392" s="769"/>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770"/>
    </row>
    <row r="393" spans="14:47">
      <c r="N393" s="769"/>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770"/>
    </row>
    <row r="394" spans="14:47">
      <c r="N394" s="769"/>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770"/>
    </row>
    <row r="395" spans="14:47">
      <c r="N395" s="769"/>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770"/>
    </row>
    <row r="396" spans="14:47">
      <c r="N396" s="769"/>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770"/>
    </row>
    <row r="397" spans="14:47">
      <c r="N397" s="769"/>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770"/>
    </row>
    <row r="398" spans="14:47">
      <c r="N398" s="769"/>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770"/>
    </row>
    <row r="399" spans="14:47">
      <c r="N399" s="769"/>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770"/>
    </row>
    <row r="400" spans="14:47">
      <c r="N400" s="769"/>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770"/>
    </row>
    <row r="401" spans="14:47">
      <c r="N401" s="769"/>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770"/>
    </row>
    <row r="402" spans="14:47">
      <c r="N402" s="769"/>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770"/>
    </row>
    <row r="403" spans="14:47">
      <c r="N403" s="769"/>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770"/>
    </row>
    <row r="404" spans="14:47">
      <c r="N404" s="769"/>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770"/>
    </row>
    <row r="405" spans="14:47">
      <c r="N405" s="769"/>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770"/>
    </row>
    <row r="406" spans="14:47">
      <c r="N406" s="769"/>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770"/>
    </row>
    <row r="407" spans="14:47">
      <c r="N407" s="769"/>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770"/>
    </row>
    <row r="408" spans="14:47">
      <c r="N408" s="769"/>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770"/>
    </row>
    <row r="409" spans="14:47">
      <c r="N409" s="769"/>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770"/>
    </row>
    <row r="410" spans="14:47">
      <c r="N410" s="769"/>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770"/>
    </row>
    <row r="411" spans="14:47">
      <c r="N411" s="769"/>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770"/>
    </row>
    <row r="412" spans="14:47">
      <c r="N412" s="769"/>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770"/>
    </row>
    <row r="413" spans="14:47">
      <c r="N413" s="769"/>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770"/>
    </row>
    <row r="414" spans="14:47">
      <c r="N414" s="769"/>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770"/>
    </row>
    <row r="415" spans="14:47">
      <c r="N415" s="769"/>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770"/>
    </row>
    <row r="416" spans="14:47">
      <c r="N416" s="769"/>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770"/>
    </row>
    <row r="417" spans="14:47">
      <c r="N417" s="769"/>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770"/>
    </row>
    <row r="418" spans="14:47">
      <c r="N418" s="769"/>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770"/>
    </row>
    <row r="419" spans="14:47">
      <c r="N419" s="769"/>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770"/>
    </row>
    <row r="420" spans="14:47">
      <c r="N420" s="769"/>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770"/>
    </row>
    <row r="421" spans="14:47">
      <c r="N421" s="769"/>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770"/>
    </row>
    <row r="422" spans="14:47">
      <c r="N422" s="769"/>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770"/>
    </row>
    <row r="423" spans="14:47">
      <c r="N423" s="769"/>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770"/>
    </row>
    <row r="424" spans="14:47">
      <c r="N424" s="769"/>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770"/>
    </row>
    <row r="425" spans="14:47">
      <c r="N425" s="769"/>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770"/>
    </row>
    <row r="426" spans="14:47">
      <c r="N426" s="769"/>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770"/>
    </row>
    <row r="427" spans="14:47">
      <c r="N427" s="769"/>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770"/>
    </row>
    <row r="428" spans="14:47">
      <c r="N428" s="769"/>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770"/>
    </row>
    <row r="429" spans="14:47">
      <c r="N429" s="769"/>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770"/>
    </row>
    <row r="430" spans="14:47">
      <c r="N430" s="769"/>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770"/>
    </row>
    <row r="431" spans="14:47">
      <c r="N431" s="769"/>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770"/>
    </row>
    <row r="432" spans="14:47">
      <c r="N432" s="769"/>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770"/>
    </row>
    <row r="433" spans="14:47">
      <c r="N433" s="769"/>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770"/>
    </row>
    <row r="434" spans="14:47">
      <c r="N434" s="769"/>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770"/>
    </row>
    <row r="435" spans="14:47">
      <c r="N435" s="769"/>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770"/>
    </row>
    <row r="436" spans="14:47">
      <c r="N436" s="769"/>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770"/>
    </row>
    <row r="437" spans="14:47">
      <c r="N437" s="769"/>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770"/>
    </row>
    <row r="438" spans="14:47">
      <c r="N438" s="769"/>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770"/>
    </row>
    <row r="439" spans="14:47">
      <c r="N439" s="769"/>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770"/>
    </row>
    <row r="440" spans="14:47">
      <c r="N440" s="769"/>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770"/>
    </row>
    <row r="441" spans="14:47">
      <c r="N441" s="769"/>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770"/>
    </row>
    <row r="442" spans="14:47">
      <c r="N442" s="769"/>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770"/>
    </row>
    <row r="443" spans="14:47">
      <c r="N443" s="769"/>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770"/>
    </row>
    <row r="444" spans="14:47">
      <c r="N444" s="769"/>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770"/>
    </row>
    <row r="445" spans="14:47">
      <c r="N445" s="769"/>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770"/>
    </row>
    <row r="446" spans="14:47">
      <c r="N446" s="769"/>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770"/>
    </row>
    <row r="447" spans="14:47">
      <c r="N447" s="769"/>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770"/>
    </row>
    <row r="448" spans="14:47">
      <c r="N448" s="769"/>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770"/>
    </row>
    <row r="449" spans="14:47">
      <c r="N449" s="769"/>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770"/>
    </row>
    <row r="450" spans="14:47">
      <c r="N450" s="769"/>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770"/>
    </row>
    <row r="451" spans="14:47">
      <c r="N451" s="769"/>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770"/>
    </row>
    <row r="452" spans="14:47">
      <c r="N452" s="769"/>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770"/>
    </row>
    <row r="453" spans="14:47">
      <c r="N453" s="769"/>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770"/>
    </row>
    <row r="454" spans="14:47">
      <c r="N454" s="769"/>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770"/>
    </row>
    <row r="455" spans="14:47">
      <c r="N455" s="769"/>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770"/>
    </row>
    <row r="456" spans="14:47">
      <c r="N456" s="769"/>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770"/>
    </row>
    <row r="457" spans="14:47">
      <c r="N457" s="769"/>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770"/>
    </row>
    <row r="458" spans="14:47">
      <c r="N458" s="769"/>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770"/>
    </row>
    <row r="459" spans="14:47">
      <c r="N459" s="769"/>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770"/>
    </row>
    <row r="460" spans="14:47">
      <c r="N460" s="769"/>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770"/>
    </row>
    <row r="461" spans="14:47">
      <c r="N461" s="769"/>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770"/>
    </row>
    <row r="462" spans="14:47">
      <c r="N462" s="769"/>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770"/>
    </row>
    <row r="463" spans="14:47">
      <c r="N463" s="769"/>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770"/>
    </row>
    <row r="464" spans="14:47">
      <c r="N464" s="769"/>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770"/>
    </row>
    <row r="465" spans="14:47">
      <c r="N465" s="769"/>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770"/>
    </row>
    <row r="466" spans="14:47">
      <c r="N466" s="769"/>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770"/>
    </row>
    <row r="467" spans="14:47">
      <c r="N467" s="769"/>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770"/>
    </row>
    <row r="468" spans="14:47">
      <c r="N468" s="769"/>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770"/>
    </row>
    <row r="469" spans="14:47">
      <c r="N469" s="769"/>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770"/>
    </row>
    <row r="470" spans="14:47">
      <c r="N470" s="769"/>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770"/>
    </row>
    <row r="471" spans="14:47">
      <c r="N471" s="769"/>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770"/>
    </row>
    <row r="472" spans="14:47">
      <c r="N472" s="769"/>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770"/>
    </row>
    <row r="473" spans="14:47">
      <c r="N473" s="769"/>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770"/>
    </row>
    <row r="474" spans="14:47">
      <c r="N474" s="769"/>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770"/>
    </row>
    <row r="475" spans="14:47">
      <c r="N475" s="769"/>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770"/>
    </row>
    <row r="476" spans="14:47">
      <c r="N476" s="769"/>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770"/>
    </row>
    <row r="477" spans="14:47">
      <c r="N477" s="769"/>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770"/>
    </row>
    <row r="478" spans="14:47">
      <c r="N478" s="769"/>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770"/>
    </row>
    <row r="479" spans="14:47">
      <c r="N479" s="769"/>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770"/>
    </row>
    <row r="480" spans="14:47">
      <c r="N480" s="769"/>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770"/>
    </row>
    <row r="481" spans="14:47">
      <c r="N481" s="769"/>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770"/>
    </row>
    <row r="482" spans="14:47">
      <c r="N482" s="769"/>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770"/>
    </row>
    <row r="483" spans="14:47">
      <c r="N483" s="769"/>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770"/>
    </row>
    <row r="484" spans="14:47">
      <c r="N484" s="769"/>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770"/>
    </row>
    <row r="485" spans="14:47">
      <c r="N485" s="769"/>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770"/>
    </row>
    <row r="486" spans="14:47">
      <c r="N486" s="769"/>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770"/>
    </row>
    <row r="487" spans="14:47">
      <c r="N487" s="769"/>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770"/>
    </row>
    <row r="488" spans="14:47">
      <c r="N488" s="769"/>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770"/>
    </row>
    <row r="489" spans="14:47">
      <c r="N489" s="769"/>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770"/>
    </row>
    <row r="490" spans="14:47">
      <c r="N490" s="769"/>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770"/>
    </row>
    <row r="491" spans="14:47">
      <c r="N491" s="769"/>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770"/>
    </row>
    <row r="492" spans="14:47">
      <c r="N492" s="769"/>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770"/>
    </row>
    <row r="493" spans="14:47">
      <c r="N493" s="769"/>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770"/>
    </row>
    <row r="494" spans="14:47">
      <c r="N494" s="769"/>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770"/>
    </row>
    <row r="495" spans="14:47">
      <c r="N495" s="769"/>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770"/>
    </row>
    <row r="496" spans="14:47">
      <c r="N496" s="769"/>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770"/>
    </row>
    <row r="497" spans="14:47">
      <c r="N497" s="769"/>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770"/>
    </row>
    <row r="498" spans="14:47">
      <c r="N498" s="769"/>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770"/>
    </row>
    <row r="499" spans="14:47" ht="17" thickBot="1">
      <c r="N499" s="828"/>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829"/>
    </row>
  </sheetData>
  <mergeCells count="9">
    <mergeCell ref="F1:O3"/>
    <mergeCell ref="B74:I74"/>
    <mergeCell ref="F16:I16"/>
    <mergeCell ref="K16:N16"/>
    <mergeCell ref="M17:M18"/>
    <mergeCell ref="N17:N18"/>
    <mergeCell ref="L17:L18"/>
    <mergeCell ref="K17:K18"/>
    <mergeCell ref="N53:AU55"/>
  </mergeCells>
  <conditionalFormatting sqref="L41:L46">
    <cfRule type="expression" dxfId="12" priority="7">
      <formula>NOT(L41="")</formula>
    </cfRule>
  </conditionalFormatting>
  <conditionalFormatting sqref="M41:M46">
    <cfRule type="expression" dxfId="11" priority="9">
      <formula>_xlfn.ISFORMULA(INDIRECT(OFFSET(#REF!, 0, $G$2)))</formula>
    </cfRule>
  </conditionalFormatting>
  <conditionalFormatting sqref="C76:I124">
    <cfRule type="expression" dxfId="10" priority="130" stopIfTrue="1">
      <formula>NOT(ISERROR(FIND("$", $B76)))</formula>
    </cfRule>
    <cfRule type="expression" dxfId="9" priority="131">
      <formula>IFERROR(LOG(C76) &lt; 2, 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et_Constants">
                <anchor moveWithCells="1" sizeWithCells="1">
                  <from>
                    <xdr:col>5</xdr:col>
                    <xdr:colOff>863600</xdr:colOff>
                    <xdr:row>10</xdr:row>
                    <xdr:rowOff>0</xdr:rowOff>
                  </from>
                  <to>
                    <xdr:col>7</xdr:col>
                    <xdr:colOff>698500</xdr:colOff>
                    <xdr:row>12</xdr:row>
                    <xdr:rowOff>50800</xdr:rowOff>
                  </to>
                </anchor>
              </controlPr>
            </control>
          </mc:Choice>
        </mc:AlternateContent>
      </controls>
    </mc:Choice>
  </mc:AlternateContent>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37</vt:i4>
      </vt:variant>
    </vt:vector>
  </HeadingPairs>
  <TitlesOfParts>
    <vt:vector size="56" baseType="lpstr">
      <vt:lpstr>About BatPaC</vt:lpstr>
      <vt:lpstr>Dashboard</vt:lpstr>
      <vt:lpstr>Chem</vt:lpstr>
      <vt:lpstr>Battery Design</vt:lpstr>
      <vt:lpstr>EV Charging</vt:lpstr>
      <vt:lpstr>Summary of Results</vt:lpstr>
      <vt:lpstr>USABC Data</vt:lpstr>
      <vt:lpstr>Manufacturing Cost Calculations</vt:lpstr>
      <vt:lpstr>Prices of Cells and Modules</vt:lpstr>
      <vt:lpstr>Cost Breakdown</vt:lpstr>
      <vt:lpstr>Recycle</vt:lpstr>
      <vt:lpstr>Cost Input</vt:lpstr>
      <vt:lpstr>Thermal</vt:lpstr>
      <vt:lpstr>BMU</vt:lpstr>
      <vt:lpstr>Plant Schematic</vt:lpstr>
      <vt:lpstr>Cell Design</vt:lpstr>
      <vt:lpstr>Module</vt:lpstr>
      <vt:lpstr>Battery</vt:lpstr>
      <vt:lpstr>Lists</vt:lpstr>
      <vt:lpstr>_Conductivity_Al</vt:lpstr>
      <vt:lpstr>_Conductivity_Cu</vt:lpstr>
      <vt:lpstr>_Cp_Al</vt:lpstr>
      <vt:lpstr>_Cp_Cu</vt:lpstr>
      <vt:lpstr>_DesiredOut</vt:lpstr>
      <vt:lpstr>_k_b</vt:lpstr>
      <vt:lpstr>_N_a</vt:lpstr>
      <vt:lpstr>_R</vt:lpstr>
      <vt:lpstr>_rho_Al</vt:lpstr>
      <vt:lpstr>_rho_Cu</vt:lpstr>
      <vt:lpstr>_rho_PE</vt:lpstr>
      <vt:lpstr>_rho_PET</vt:lpstr>
      <vt:lpstr>_rho_PP</vt:lpstr>
      <vt:lpstr>_rho_steel</vt:lpstr>
      <vt:lpstr>_therm_cond_Al</vt:lpstr>
      <vt:lpstr>_therm_cond_Cu</vt:lpstr>
      <vt:lpstr>Desired_Outputs</vt:lpstr>
      <vt:lpstr>Battery!Print_Area</vt:lpstr>
      <vt:lpstr>'Battery Design'!Print_Area</vt:lpstr>
      <vt:lpstr>Chem!Print_Area</vt:lpstr>
      <vt:lpstr>'Cost Breakdown'!Print_Area</vt:lpstr>
      <vt:lpstr>'Cost Input'!Print_Area</vt:lpstr>
      <vt:lpstr>'EV Charging'!Print_Area</vt:lpstr>
      <vt:lpstr>'Manufacturing Cost Calculations'!Print_Area</vt:lpstr>
      <vt:lpstr>Module!Print_Area</vt:lpstr>
      <vt:lpstr>'Prices of Cells and Modules'!Print_Area</vt:lpstr>
      <vt:lpstr>Recycle!Print_Area</vt:lpstr>
      <vt:lpstr>'Summary of Results'!Print_Area</vt:lpstr>
      <vt:lpstr>Thermal!Print_Area</vt:lpstr>
      <vt:lpstr>'USABC Data'!Print_Area</vt:lpstr>
      <vt:lpstr>'Battery Design'!Print_Titles</vt:lpstr>
      <vt:lpstr>Chem!Print_Titles</vt:lpstr>
      <vt:lpstr>'Manufacturing Cost Calculations'!Print_Titles</vt:lpstr>
      <vt:lpstr>Recycle!Print_Titles</vt:lpstr>
      <vt:lpstr>'Summary of Results'!Print_Titles</vt:lpstr>
      <vt:lpstr>Thermal!Print_Titles</vt:lpstr>
      <vt:lpstr>'USABC Data'!Print_Titles</vt:lpstr>
    </vt:vector>
  </TitlesOfParts>
  <Company>Argonne National Laboratory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nelson</dc:creator>
  <cp:lastModifiedBy>Microsoft Office User</cp:lastModifiedBy>
  <cp:lastPrinted>2019-08-22T20:27:04Z</cp:lastPrinted>
  <dcterms:created xsi:type="dcterms:W3CDTF">2007-05-30T17:44:54Z</dcterms:created>
  <dcterms:modified xsi:type="dcterms:W3CDTF">2021-09-09T02:48:38Z</dcterms:modified>
</cp:coreProperties>
</file>