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574\FinalProjects\Markowitx\"/>
    </mc:Choice>
  </mc:AlternateContent>
  <bookViews>
    <workbookView xWindow="0" yWindow="0" windowWidth="23040" windowHeight="8904" activeTab="3"/>
  </bookViews>
  <sheets>
    <sheet name="Sheet1" sheetId="1" r:id="rId1"/>
    <sheet name="Sheet5" sheetId="5" r:id="rId2"/>
    <sheet name="Portfolio Values Markowitz" sheetId="2" r:id="rId3"/>
    <sheet name="Selected Models-FactorModels" sheetId="4" r:id="rId4"/>
  </sheets>
  <definedNames>
    <definedName name="_xlchart.0" hidden="1">Sheet1!$E$2:$E$24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I29" i="1"/>
  <c r="G29" i="1"/>
  <c r="D29" i="1"/>
  <c r="G28" i="1"/>
  <c r="D28" i="1"/>
  <c r="G25" i="1"/>
  <c r="I25" i="1" s="1"/>
  <c r="D25" i="1"/>
  <c r="E25" i="1"/>
  <c r="E25" i="5"/>
  <c r="E23" i="5"/>
  <c r="E22" i="5"/>
  <c r="B12" i="5"/>
  <c r="B13" i="5" s="1"/>
  <c r="B7" i="5"/>
  <c r="AB8" i="5"/>
  <c r="B3" i="5" s="1"/>
  <c r="B5" i="5" s="1"/>
  <c r="Y8" i="5"/>
  <c r="B2" i="5" s="1"/>
  <c r="B6" i="5" s="1"/>
  <c r="B8" i="5" l="1"/>
  <c r="B20" i="5"/>
  <c r="B16" i="5"/>
  <c r="B18" i="5"/>
  <c r="E7" i="5"/>
  <c r="E12" i="5" l="1"/>
  <c r="E14" i="5" s="1"/>
  <c r="E6" i="5"/>
  <c r="C5" i="2"/>
  <c r="D5" i="2"/>
  <c r="E5" i="2"/>
  <c r="F5" i="2"/>
  <c r="B5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G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AB9" i="5" l="1"/>
  <c r="AB10" i="5" s="1"/>
  <c r="B9" i="5" s="1"/>
  <c r="H24" i="1"/>
  <c r="D24" i="1"/>
  <c r="K24" i="1" s="1"/>
  <c r="L24" i="1" s="1"/>
  <c r="H23" i="1"/>
  <c r="D23" i="1"/>
  <c r="K23" i="1" s="1"/>
  <c r="L23" i="1" s="1"/>
  <c r="H22" i="1"/>
  <c r="D22" i="1"/>
  <c r="K22" i="1" s="1"/>
  <c r="L22" i="1" s="1"/>
  <c r="H21" i="1"/>
  <c r="D21" i="1"/>
  <c r="K21" i="1" s="1"/>
  <c r="L21" i="1" s="1"/>
  <c r="H20" i="1"/>
  <c r="D20" i="1"/>
  <c r="K20" i="1" s="1"/>
  <c r="L20" i="1" s="1"/>
  <c r="H19" i="1"/>
  <c r="D19" i="1"/>
  <c r="K19" i="1" s="1"/>
  <c r="L19" i="1" s="1"/>
  <c r="H18" i="1"/>
  <c r="D18" i="1"/>
  <c r="K18" i="1" s="1"/>
  <c r="L18" i="1" s="1"/>
  <c r="H17" i="1"/>
  <c r="D17" i="1"/>
  <c r="K17" i="1" s="1"/>
  <c r="L17" i="1" s="1"/>
  <c r="H16" i="1"/>
  <c r="D16" i="1"/>
  <c r="K16" i="1" s="1"/>
  <c r="L16" i="1" s="1"/>
  <c r="H15" i="1"/>
  <c r="D15" i="1"/>
  <c r="K15" i="1" s="1"/>
  <c r="L15" i="1" s="1"/>
  <c r="H14" i="1"/>
  <c r="D14" i="1"/>
  <c r="K14" i="1" s="1"/>
  <c r="L14" i="1" s="1"/>
  <c r="H13" i="1"/>
  <c r="D13" i="1"/>
  <c r="K13" i="1" s="1"/>
  <c r="L13" i="1" s="1"/>
  <c r="H12" i="1"/>
  <c r="D12" i="1"/>
  <c r="K12" i="1" s="1"/>
  <c r="L12" i="1" s="1"/>
  <c r="H11" i="1"/>
  <c r="D11" i="1"/>
  <c r="K11" i="1" s="1"/>
  <c r="L11" i="1" s="1"/>
  <c r="H10" i="1"/>
  <c r="D10" i="1"/>
  <c r="K10" i="1" s="1"/>
  <c r="L10" i="1" s="1"/>
  <c r="H9" i="1"/>
  <c r="D9" i="1"/>
  <c r="K9" i="1" s="1"/>
  <c r="L9" i="1" s="1"/>
  <c r="H8" i="1"/>
  <c r="D8" i="1"/>
  <c r="K8" i="1" s="1"/>
  <c r="L8" i="1" s="1"/>
  <c r="H7" i="1"/>
  <c r="D7" i="1"/>
  <c r="K7" i="1" s="1"/>
  <c r="L7" i="1" s="1"/>
  <c r="H6" i="1"/>
  <c r="D6" i="1"/>
  <c r="K6" i="1" s="1"/>
  <c r="L6" i="1" s="1"/>
  <c r="H5" i="1"/>
  <c r="D5" i="1"/>
  <c r="K5" i="1" s="1"/>
  <c r="L5" i="1" s="1"/>
  <c r="H4" i="1"/>
  <c r="D4" i="1"/>
  <c r="K4" i="1" s="1"/>
  <c r="L4" i="1" s="1"/>
  <c r="H3" i="1"/>
  <c r="D3" i="1"/>
  <c r="K3" i="1" s="1"/>
  <c r="L3" i="1" s="1"/>
  <c r="H2" i="1"/>
  <c r="D2" i="1"/>
  <c r="Y9" i="5" l="1"/>
  <c r="Y10" i="5" s="1"/>
  <c r="B10" i="5" s="1"/>
  <c r="B15" i="5" s="1"/>
  <c r="I2" i="1"/>
  <c r="K2" i="1"/>
  <c r="L2" i="1" s="1"/>
  <c r="E4" i="1"/>
  <c r="I4" i="1"/>
  <c r="E6" i="1"/>
  <c r="I6" i="1"/>
  <c r="E8" i="1"/>
  <c r="I8" i="1"/>
  <c r="E10" i="1"/>
  <c r="I10" i="1"/>
  <c r="E12" i="1"/>
  <c r="I12" i="1"/>
  <c r="E14" i="1"/>
  <c r="I14" i="1"/>
  <c r="E16" i="1"/>
  <c r="I16" i="1"/>
  <c r="E18" i="1"/>
  <c r="I18" i="1"/>
  <c r="E20" i="1"/>
  <c r="I20" i="1"/>
  <c r="E22" i="1"/>
  <c r="I22" i="1"/>
  <c r="E24" i="1"/>
  <c r="I24" i="1"/>
  <c r="E3" i="1"/>
  <c r="I3" i="1"/>
  <c r="E5" i="1"/>
  <c r="I5" i="1"/>
  <c r="E7" i="1"/>
  <c r="I7" i="1"/>
  <c r="E9" i="1"/>
  <c r="I9" i="1"/>
  <c r="E11" i="1"/>
  <c r="I11" i="1"/>
  <c r="E13" i="1"/>
  <c r="I13" i="1"/>
  <c r="E15" i="1"/>
  <c r="I15" i="1"/>
  <c r="E17" i="1"/>
  <c r="I17" i="1"/>
  <c r="E19" i="1"/>
  <c r="I19" i="1"/>
  <c r="E21" i="1"/>
  <c r="I21" i="1"/>
  <c r="E23" i="1"/>
  <c r="I23" i="1"/>
  <c r="E2" i="1"/>
  <c r="AD11" i="5" l="1"/>
  <c r="AD12" i="5" s="1"/>
  <c r="B11" i="5" s="1"/>
  <c r="B19" i="5" s="1"/>
  <c r="E8" i="5"/>
  <c r="E9" i="5" s="1"/>
</calcChain>
</file>

<file path=xl/sharedStrings.xml><?xml version="1.0" encoding="utf-8"?>
<sst xmlns="http://schemas.openxmlformats.org/spreadsheetml/2006/main" count="101" uniqueCount="82">
  <si>
    <t>Date</t>
  </si>
  <si>
    <t>Start Value</t>
  </si>
  <si>
    <t>End Value</t>
  </si>
  <si>
    <t>Portfolio Returns</t>
  </si>
  <si>
    <t>LN Returns</t>
  </si>
  <si>
    <t>SPY</t>
  </si>
  <si>
    <t>11-13-2017</t>
  </si>
  <si>
    <t>11-14-2017</t>
  </si>
  <si>
    <t>11-15-2017</t>
  </si>
  <si>
    <t>11-16-2017</t>
  </si>
  <si>
    <t>11-17-2017</t>
  </si>
  <si>
    <t>11-20-2017</t>
  </si>
  <si>
    <t>11-21-2017</t>
  </si>
  <si>
    <t>11-22-2017</t>
  </si>
  <si>
    <t>11-24-2017</t>
  </si>
  <si>
    <t>11-27-2017</t>
  </si>
  <si>
    <t>11-28-2017</t>
  </si>
  <si>
    <t>11-29-2017</t>
  </si>
  <si>
    <t>11-30-2017</t>
  </si>
  <si>
    <t>30Yr Risk Free Returns</t>
  </si>
  <si>
    <t>Risk Free</t>
  </si>
  <si>
    <t xml:space="preserve">Sharpe ratio </t>
  </si>
  <si>
    <t>Treynor Ratio</t>
  </si>
  <si>
    <t>Annualized Returns</t>
  </si>
  <si>
    <t>Portfolio's beta</t>
  </si>
  <si>
    <t>Ratio Analysis</t>
  </si>
  <si>
    <t>Jensen's Measure</t>
  </si>
  <si>
    <t>muP-RF</t>
  </si>
  <si>
    <t>mM - RF</t>
  </si>
  <si>
    <t>Standard deviation</t>
  </si>
  <si>
    <t>Annualized Volatility of Portfolio and Market.</t>
  </si>
  <si>
    <t xml:space="preserve">Annualized Returns on Portfolio and Market. </t>
  </si>
  <si>
    <t>Market Returns</t>
  </si>
  <si>
    <t>Annualized Volatility Portfolio</t>
  </si>
  <si>
    <t>Annualized Volatility Market</t>
  </si>
  <si>
    <t>SPY Returns</t>
  </si>
  <si>
    <t>Portfolio-SPY Returns</t>
  </si>
  <si>
    <t xml:space="preserve">Standard deviation of the difference between portfolio and market returns </t>
  </si>
  <si>
    <t>Annualized Volatility of difference between Portfolio and Market returns .</t>
  </si>
  <si>
    <t>Information Ratio</t>
  </si>
  <si>
    <t>muP-muM</t>
  </si>
  <si>
    <t>Annualized Volatility between Portfolio and Market Returns (Tracking Error)</t>
  </si>
  <si>
    <t>Downside Risk</t>
  </si>
  <si>
    <t>Values</t>
  </si>
  <si>
    <t>Daily Risk Free</t>
  </si>
  <si>
    <t>Logical</t>
  </si>
  <si>
    <t>Sortino Ratio</t>
  </si>
  <si>
    <t>Annualized downside risk</t>
  </si>
  <si>
    <t>Maximum Drawdown</t>
  </si>
  <si>
    <t>Total Value of Stocks</t>
  </si>
  <si>
    <t>Net Liquidation Value</t>
  </si>
  <si>
    <t>Leverage Ratio</t>
  </si>
  <si>
    <t>Historical</t>
  </si>
  <si>
    <t>Stock Price as of 01/03/2017</t>
  </si>
  <si>
    <t>Stock Price as of 10/31/2017</t>
  </si>
  <si>
    <t>Selected Model I Weights</t>
  </si>
  <si>
    <t>Selected Model II Weights</t>
  </si>
  <si>
    <t>Historical Actual Weights</t>
  </si>
  <si>
    <t>Position as per Model I</t>
  </si>
  <si>
    <t>Position as per Model II</t>
  </si>
  <si>
    <t>Position as per Model III</t>
  </si>
  <si>
    <t>Market Value as per 10/31/2017</t>
  </si>
  <si>
    <t>Models</t>
  </si>
  <si>
    <t>French_Fama_F1</t>
  </si>
  <si>
    <t>French_Fam_F1F2</t>
  </si>
  <si>
    <t xml:space="preserve">Minimum Variance Portfolio </t>
  </si>
  <si>
    <t>Standard Deviation</t>
  </si>
  <si>
    <t xml:space="preserve">Portfolio Returns </t>
  </si>
  <si>
    <t>Week 2</t>
  </si>
  <si>
    <t>Week 3</t>
  </si>
  <si>
    <t>Week 4</t>
  </si>
  <si>
    <t>Week 1</t>
  </si>
  <si>
    <t>Tangency Weights</t>
  </si>
  <si>
    <t>Returns</t>
  </si>
  <si>
    <t>Week</t>
  </si>
  <si>
    <t>Sharpe Ratio</t>
  </si>
  <si>
    <t>Portfolio Beta</t>
  </si>
  <si>
    <t>Jensen's Measure (Alpha)</t>
  </si>
  <si>
    <t>Excess Portfolio Returns</t>
  </si>
  <si>
    <t>Excess Market Returns</t>
  </si>
  <si>
    <t>Annualized Volatility</t>
  </si>
  <si>
    <t>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</si>
</sst>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%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2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10" fontId="0" fillId="0" borderId="3" xfId="0" applyNumberFormat="1" applyBorder="1"/>
    <xf numFmtId="10" fontId="0" fillId="0" borderId="5" xfId="0" applyNumberFormat="1" applyBorder="1"/>
    <xf numFmtId="10" fontId="0" fillId="0" borderId="0" xfId="0" applyNumberFormat="1"/>
    <xf numFmtId="164" fontId="0" fillId="0" borderId="1" xfId="0" applyNumberFormat="1" applyFill="1" applyBorder="1"/>
    <xf numFmtId="0" fontId="0" fillId="0" borderId="1" xfId="0" applyFill="1" applyBorder="1"/>
    <xf numFmtId="0" fontId="0" fillId="0" borderId="1" xfId="0" applyBorder="1"/>
    <xf numFmtId="10" fontId="0" fillId="0" borderId="1" xfId="0" applyNumberFormat="1" applyBorder="1"/>
    <xf numFmtId="0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0" fontId="2" fillId="0" borderId="0" xfId="0" applyFont="1"/>
    <xf numFmtId="0" fontId="0" fillId="0" borderId="1" xfId="0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1" xfId="0" applyNumberFormat="1" applyFill="1" applyBorder="1" applyAlignment="1">
      <alignment horizontal="center" wrapText="1"/>
    </xf>
    <xf numFmtId="10" fontId="0" fillId="0" borderId="2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1" xfId="1" applyNumberFormat="1" applyFont="1" applyFill="1" applyBorder="1" applyAlignment="1">
      <alignment horizontal="center" wrapText="1"/>
    </xf>
    <xf numFmtId="10" fontId="0" fillId="0" borderId="2" xfId="1" applyNumberFormat="1" applyFont="1" applyBorder="1"/>
    <xf numFmtId="10" fontId="0" fillId="0" borderId="1" xfId="1" applyNumberFormat="1" applyFont="1" applyBorder="1"/>
    <xf numFmtId="165" fontId="0" fillId="0" borderId="2" xfId="0" applyNumberFormat="1" applyBorder="1"/>
    <xf numFmtId="0" fontId="0" fillId="0" borderId="1" xfId="0" applyNumberFormat="1" applyFill="1" applyBorder="1" applyAlignment="1">
      <alignment horizontal="center" wrapText="1"/>
    </xf>
    <xf numFmtId="0" fontId="0" fillId="0" borderId="1" xfId="0" applyNumberFormat="1" applyFill="1" applyBorder="1"/>
    <xf numFmtId="11" fontId="0" fillId="0" borderId="0" xfId="0" applyNumberFormat="1"/>
    <xf numFmtId="4" fontId="3" fillId="0" borderId="0" xfId="0" applyNumberFormat="1" applyFont="1"/>
    <xf numFmtId="165" fontId="0" fillId="0" borderId="0" xfId="1" applyNumberFormat="1" applyFont="1"/>
    <xf numFmtId="0" fontId="0" fillId="0" borderId="3" xfId="0" applyBorder="1"/>
    <xf numFmtId="0" fontId="0" fillId="0" borderId="5" xfId="0" applyBorder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14" fontId="2" fillId="0" borderId="1" xfId="0" applyNumberFormat="1" applyFont="1" applyBorder="1"/>
    <xf numFmtId="14" fontId="2" fillId="0" borderId="6" xfId="0" applyNumberFormat="1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10" fontId="0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1" xfId="0" applyNumberFormat="1" applyBorder="1"/>
    <xf numFmtId="2" fontId="0" fillId="0" borderId="8" xfId="0" applyNumberFormat="1" applyBorder="1"/>
    <xf numFmtId="0" fontId="0" fillId="0" borderId="6" xfId="0" applyBorder="1" applyAlignment="1">
      <alignment horizontal="center"/>
    </xf>
    <xf numFmtId="0" fontId="0" fillId="0" borderId="11" xfId="0" applyNumberFormat="1" applyBorder="1"/>
    <xf numFmtId="166" fontId="0" fillId="0" borderId="0" xfId="0" applyNumberFormat="1"/>
    <xf numFmtId="166" fontId="0" fillId="0" borderId="1" xfId="1" applyNumberFormat="1" applyFont="1" applyFill="1" applyBorder="1"/>
    <xf numFmtId="0" fontId="2" fillId="0" borderId="1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alignment horizontal="center" vertical="bottom" textRotation="0" wrapText="0" indent="0" justifyLastLine="0" shrinkToFit="0" readingOrder="0"/>
    </dxf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Returns Distribution</a:t>
            </a:r>
          </a:p>
        </cx:rich>
      </cx:tx>
    </cx:title>
    <cx:plotArea>
      <cx:plotAreaRegion>
        <cx:series layoutId="clusteredColumn" uniqueId="{DB328AB8-82E3-48ED-B1AE-A728DC4A59DC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.860000014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Portfolio's Value for 5 weeks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(Sheet1!$C$2,Sheet1!$C$10,Sheet1!$C$15,Sheet1!$C$19,Sheet1!$C$24)</c:f>
              <c:numCache>
                <c:formatCode>General</c:formatCode>
                <c:ptCount val="5"/>
                <c:pt idx="0">
                  <c:v>1000518.64</c:v>
                </c:pt>
                <c:pt idx="1">
                  <c:v>1006808.68</c:v>
                </c:pt>
                <c:pt idx="2">
                  <c:v>1008545.32</c:v>
                </c:pt>
                <c:pt idx="3">
                  <c:v>1013768.31</c:v>
                </c:pt>
                <c:pt idx="4">
                  <c:v>1025139.04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5-445D-B5BB-89546CBFE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58472"/>
        <c:axId val="405460440"/>
      </c:scatterChart>
      <c:valAx>
        <c:axId val="40545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0440"/>
        <c:crosses val="autoZero"/>
        <c:crossBetween val="midCat"/>
      </c:valAx>
      <c:valAx>
        <c:axId val="4054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Leverage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'Portfolio Values Markowitz'!$B$5:$F$5</c:f>
              <c:numCache>
                <c:formatCode>General</c:formatCode>
                <c:ptCount val="5"/>
                <c:pt idx="0">
                  <c:v>1.8591797550118607</c:v>
                </c:pt>
                <c:pt idx="1">
                  <c:v>1.6254031500801125</c:v>
                </c:pt>
                <c:pt idx="2">
                  <c:v>1.5166160307005341</c:v>
                </c:pt>
                <c:pt idx="3">
                  <c:v>1.5645152687797075</c:v>
                </c:pt>
                <c:pt idx="4">
                  <c:v>1.5659631887592536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1-45AA-9C04-828A27B83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95840"/>
        <c:axId val="538730040"/>
      </c:scatterChart>
      <c:valAx>
        <c:axId val="5402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30040"/>
        <c:crosses val="autoZero"/>
        <c:crossBetween val="midCat"/>
      </c:valAx>
      <c:valAx>
        <c:axId val="53873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4</xdr:row>
      <xdr:rowOff>152400</xdr:rowOff>
    </xdr:from>
    <xdr:to>
      <xdr:col>15</xdr:col>
      <xdr:colOff>38100</xdr:colOff>
      <xdr:row>12</xdr:row>
      <xdr:rowOff>114748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4</xdr:row>
      <xdr:rowOff>121920</xdr:rowOff>
    </xdr:from>
    <xdr:to>
      <xdr:col>17</xdr:col>
      <xdr:colOff>441960</xdr:colOff>
      <xdr:row>16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350520</xdr:colOff>
      <xdr:row>9</xdr:row>
      <xdr:rowOff>57150</xdr:rowOff>
    </xdr:from>
    <xdr:to>
      <xdr:col>6</xdr:col>
      <xdr:colOff>495300</xdr:colOff>
      <xdr:row>20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D5:E9" headerRowCount="0" totalsRowShown="0" headerRowDxfId="14" tableBorderDxfId="13" totalsRowBorderDxfId="12">
  <tableColumns count="2">
    <tableColumn id="1" name="Column1" headerRowDxfId="11" dataDxfId="10"/>
    <tableColumn id="2" name="Column2" headerRowDxfId="9" dataDxfId="8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id="3" name="Table24" displayName="Table24" ref="D11:E14" headerRowCount="0" totalsRowShown="0" headerRowDxfId="7" tableBorderDxfId="6" totalsRowBorderDxfId="5">
  <tableColumns count="2">
    <tableColumn id="1" name="Column1" headerRowDxfId="4" dataDxfId="3"/>
    <tableColumn id="2" name="Column2" headerRowDxfId="2" dataDxfId="1"/>
  </tableColumns>
  <tableStyleInfo name="TableStyleLight21" showFirstColumn="0" showLastColumn="0" showRowStripes="0" showColumnStripes="0"/>
</table>
</file>

<file path=xl/tables/table3.xml><?xml version="1.0" encoding="utf-8"?>
<table xmlns="http://schemas.openxmlformats.org/spreadsheetml/2006/main" id="1" name="Table1" displayName="Table1" ref="A1:B20" totalsRowShown="0" headerRowDxfId="0">
  <tableColumns count="2">
    <tableColumn id="1" name="Annualized Returns"/>
    <tableColumn id="2" name="Values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>
      <selection activeCell="D31" sqref="D31"/>
    </sheetView>
  </sheetViews>
  <sheetFormatPr defaultRowHeight="14.4" x14ac:dyDescent="0.3"/>
  <cols>
    <col min="1" max="1" width="15.33203125" customWidth="1"/>
    <col min="2" max="2" width="11.109375" customWidth="1"/>
    <col min="3" max="3" width="16.44140625" customWidth="1"/>
    <col min="4" max="4" width="14.5546875" style="11" customWidth="1"/>
    <col min="5" max="5" width="13.5546875" customWidth="1"/>
    <col min="7" max="7" width="23.109375" style="11" bestFit="1" customWidth="1"/>
    <col min="8" max="10" width="11.77734375" customWidth="1"/>
    <col min="11" max="11" width="7.6640625" style="16" customWidth="1"/>
    <col min="12" max="12" width="11.77734375" style="16" customWidth="1"/>
    <col min="13" max="13" width="16.33203125" style="17" customWidth="1"/>
    <col min="15" max="15" width="23.21875" customWidth="1"/>
    <col min="16" max="16" width="18" customWidth="1"/>
    <col min="18" max="18" width="18.33203125" customWidth="1"/>
    <col min="19" max="19" width="23.109375" bestFit="1" customWidth="1"/>
  </cols>
  <sheetData>
    <row r="1" spans="1:13" s="24" customFormat="1" ht="28.8" x14ac:dyDescent="0.3">
      <c r="A1" s="20" t="s">
        <v>0</v>
      </c>
      <c r="B1" s="20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G1" s="25" t="s">
        <v>35</v>
      </c>
      <c r="H1" s="23" t="s">
        <v>4</v>
      </c>
      <c r="I1" s="23" t="s">
        <v>36</v>
      </c>
      <c r="J1" s="23" t="s">
        <v>44</v>
      </c>
      <c r="K1" s="33" t="s">
        <v>45</v>
      </c>
      <c r="L1" s="33" t="s">
        <v>42</v>
      </c>
      <c r="M1" s="29" t="s">
        <v>19</v>
      </c>
    </row>
    <row r="2" spans="1:13" x14ac:dyDescent="0.3">
      <c r="A2" s="6">
        <v>42777</v>
      </c>
      <c r="B2" s="1">
        <v>1001114.84</v>
      </c>
      <c r="C2" s="2">
        <v>1000518.64</v>
      </c>
      <c r="D2" s="9">
        <f t="shared" ref="D2:D24" si="0">(C2/B2) - 1</f>
        <v>-5.9553607256479513E-4</v>
      </c>
      <c r="E2" s="3">
        <f t="shared" ref="E2:E25" si="1">LN(1+D2)</f>
        <v>-5.9571347460803201E-4</v>
      </c>
      <c r="F2" s="2">
        <v>257.58999599999999</v>
      </c>
      <c r="G2" s="26">
        <f>(F2/257.49) - 1</f>
        <v>3.8834906209950226E-4</v>
      </c>
      <c r="H2" s="2">
        <f>LN(F2/257.49)</f>
        <v>3.8827367411975477E-4</v>
      </c>
      <c r="I2" s="26">
        <f t="shared" ref="I2:I25" si="2">D2-G2</f>
        <v>-9.8388513466429739E-4</v>
      </c>
      <c r="J2" s="32">
        <f>(1+M2)^(1/365) - 1</f>
        <v>7.6460329114569348E-5</v>
      </c>
      <c r="K2" s="1">
        <f>IF(D2&lt;J2,1,0)</f>
        <v>1</v>
      </c>
      <c r="L2" s="1">
        <f>IF(K2=1,(D2-J2)^2,0)</f>
        <v>4.5157916387001375E-7</v>
      </c>
      <c r="M2" s="30">
        <v>2.8299999999999999E-2</v>
      </c>
    </row>
    <row r="3" spans="1:13" x14ac:dyDescent="0.3">
      <c r="A3" s="6">
        <v>42805</v>
      </c>
      <c r="B3" s="2">
        <v>1000518.64</v>
      </c>
      <c r="C3" s="2">
        <v>1003510.26</v>
      </c>
      <c r="D3" s="9">
        <f t="shared" si="0"/>
        <v>2.9900692304942744E-3</v>
      </c>
      <c r="E3" s="3">
        <f t="shared" si="1"/>
        <v>2.985607864475793E-3</v>
      </c>
      <c r="F3" s="2">
        <v>258.45001200000002</v>
      </c>
      <c r="G3" s="26">
        <f>(F3/F2) - 1</f>
        <v>3.3387010883763057E-3</v>
      </c>
      <c r="H3" s="2">
        <f t="shared" ref="H3:H24" si="3">LN(F3/F2)</f>
        <v>3.3331400003336277E-3</v>
      </c>
      <c r="I3" s="26">
        <f t="shared" si="2"/>
        <v>-3.4863185788203133E-4</v>
      </c>
      <c r="J3" s="32">
        <f t="shared" ref="J3:J24" si="4">(1+M3)^(1/365) - 1</f>
        <v>7.61938632605208E-5</v>
      </c>
      <c r="K3" s="1">
        <f t="shared" ref="K3:K24" si="5">IF(D3&lt;J3,1,0)</f>
        <v>0</v>
      </c>
      <c r="L3" s="1">
        <f t="shared" ref="L3:L24" si="6">IF(K3=1,(D3-J3)^2,0)</f>
        <v>0</v>
      </c>
      <c r="M3" s="30">
        <v>2.8199999999999999E-2</v>
      </c>
    </row>
    <row r="4" spans="1:13" x14ac:dyDescent="0.3">
      <c r="A4" s="6">
        <v>42897</v>
      </c>
      <c r="B4" s="2">
        <v>1003510.26</v>
      </c>
      <c r="C4" s="2">
        <v>1007062.02</v>
      </c>
      <c r="D4" s="9">
        <f t="shared" si="0"/>
        <v>3.5393360103761484E-3</v>
      </c>
      <c r="E4" s="3">
        <f t="shared" si="1"/>
        <v>3.5330873005276361E-3</v>
      </c>
      <c r="F4" s="2">
        <v>258.85000600000001</v>
      </c>
      <c r="G4" s="26">
        <f t="shared" ref="G4:G24" si="7">(F4/F3) - 1</f>
        <v>1.5476648536583149E-3</v>
      </c>
      <c r="H4" s="2">
        <f t="shared" si="3"/>
        <v>1.5464684546660638E-3</v>
      </c>
      <c r="I4" s="26">
        <f t="shared" si="2"/>
        <v>1.9916711567178336E-3</v>
      </c>
      <c r="J4" s="32">
        <f t="shared" si="4"/>
        <v>7.5660854009118594E-5</v>
      </c>
      <c r="K4" s="1">
        <f t="shared" si="5"/>
        <v>0</v>
      </c>
      <c r="L4" s="1">
        <f t="shared" si="6"/>
        <v>0</v>
      </c>
      <c r="M4" s="30">
        <v>2.8000000000000001E-2</v>
      </c>
    </row>
    <row r="5" spans="1:13" x14ac:dyDescent="0.3">
      <c r="A5" s="6">
        <v>42927</v>
      </c>
      <c r="B5" s="2">
        <v>1007062.02</v>
      </c>
      <c r="C5" s="2">
        <v>1009506.85</v>
      </c>
      <c r="D5" s="9">
        <f t="shared" si="0"/>
        <v>2.4276856354883414E-3</v>
      </c>
      <c r="E5" s="3">
        <f t="shared" si="1"/>
        <v>2.4247435673649151E-3</v>
      </c>
      <c r="F5" s="2">
        <v>258.67001299999998</v>
      </c>
      <c r="G5" s="26">
        <f t="shared" si="7"/>
        <v>-6.9535636788831123E-4</v>
      </c>
      <c r="H5" s="2">
        <f t="shared" si="3"/>
        <v>-6.9559824025898769E-4</v>
      </c>
      <c r="I5" s="26">
        <f t="shared" si="2"/>
        <v>3.1230420033766526E-3</v>
      </c>
      <c r="J5" s="32">
        <f t="shared" si="4"/>
        <v>7.4861146199367568E-5</v>
      </c>
      <c r="K5" s="1">
        <f t="shared" si="5"/>
        <v>0</v>
      </c>
      <c r="L5" s="1">
        <f t="shared" si="6"/>
        <v>0</v>
      </c>
      <c r="M5" s="30">
        <v>2.7699999999999999E-2</v>
      </c>
    </row>
    <row r="6" spans="1:13" x14ac:dyDescent="0.3">
      <c r="A6" s="6">
        <v>42958</v>
      </c>
      <c r="B6" s="2">
        <v>1009506.85</v>
      </c>
      <c r="C6" s="2">
        <v>1008748.11</v>
      </c>
      <c r="D6" s="9">
        <f t="shared" si="0"/>
        <v>-7.5159470190810929E-4</v>
      </c>
      <c r="E6" s="3">
        <f t="shared" si="1"/>
        <v>-7.518772908098304E-4</v>
      </c>
      <c r="F6" s="2">
        <v>259.10998499999999</v>
      </c>
      <c r="G6" s="26">
        <f t="shared" si="7"/>
        <v>1.7009006761059542E-3</v>
      </c>
      <c r="H6" s="2">
        <f t="shared" si="3"/>
        <v>1.6994557827323549E-3</v>
      </c>
      <c r="I6" s="26">
        <f t="shared" si="2"/>
        <v>-2.4524953780140635E-3</v>
      </c>
      <c r="J6" s="32">
        <f t="shared" si="4"/>
        <v>7.4461204987663621E-5</v>
      </c>
      <c r="K6" s="1">
        <f t="shared" si="5"/>
        <v>1</v>
      </c>
      <c r="L6" s="1">
        <f t="shared" si="6"/>
        <v>6.8236836131739788E-7</v>
      </c>
      <c r="M6" s="30">
        <v>2.7550000000000002E-2</v>
      </c>
    </row>
    <row r="7" spans="1:13" x14ac:dyDescent="0.3">
      <c r="A7" s="6">
        <v>42989</v>
      </c>
      <c r="B7" s="2">
        <v>1008748.11</v>
      </c>
      <c r="C7" s="2">
        <v>1001779.81</v>
      </c>
      <c r="D7" s="9">
        <f t="shared" si="0"/>
        <v>-6.9078692003694542E-3</v>
      </c>
      <c r="E7" s="3">
        <f t="shared" si="1"/>
        <v>-6.9318389793259425E-3</v>
      </c>
      <c r="F7" s="2">
        <v>258.17001299999998</v>
      </c>
      <c r="G7" s="26">
        <f t="shared" si="7"/>
        <v>-3.6276950114446649E-3</v>
      </c>
      <c r="H7" s="2">
        <f t="shared" si="3"/>
        <v>-3.6342910541119363E-3</v>
      </c>
      <c r="I7" s="26">
        <f t="shared" si="2"/>
        <v>-3.2801741889247893E-3</v>
      </c>
      <c r="J7" s="32">
        <f t="shared" si="4"/>
        <v>7.3927859460809486E-5</v>
      </c>
      <c r="K7" s="1">
        <f t="shared" si="5"/>
        <v>1</v>
      </c>
      <c r="L7" s="1">
        <f t="shared" si="6"/>
        <v>4.8745490184654513E-5</v>
      </c>
      <c r="M7" s="30">
        <v>2.7349999999999999E-2</v>
      </c>
    </row>
    <row r="8" spans="1:13" x14ac:dyDescent="0.3">
      <c r="A8" s="6">
        <v>43019</v>
      </c>
      <c r="B8" s="2">
        <v>1001779.81</v>
      </c>
      <c r="C8" s="2">
        <v>991529.88</v>
      </c>
      <c r="D8" s="9">
        <f t="shared" si="0"/>
        <v>-1.0231719483346446E-2</v>
      </c>
      <c r="E8" s="3">
        <f t="shared" si="1"/>
        <v>-1.0284423334026285E-2</v>
      </c>
      <c r="F8" s="2">
        <v>258.08999599999999</v>
      </c>
      <c r="G8" s="26">
        <f t="shared" si="7"/>
        <v>-3.09939171750373E-4</v>
      </c>
      <c r="H8" s="2">
        <f t="shared" si="3"/>
        <v>-3.099872128222621E-4</v>
      </c>
      <c r="I8" s="26">
        <f t="shared" si="2"/>
        <v>-9.9217803115960734E-3</v>
      </c>
      <c r="J8" s="32">
        <f t="shared" si="4"/>
        <v>7.3394410378790909E-5</v>
      </c>
      <c r="K8" s="1">
        <f t="shared" si="5"/>
        <v>1</v>
      </c>
      <c r="L8" s="1">
        <f t="shared" si="6"/>
        <v>1.0619537236264892E-4</v>
      </c>
      <c r="M8" s="30">
        <v>2.7150000000000001E-2</v>
      </c>
    </row>
    <row r="9" spans="1:13" x14ac:dyDescent="0.3">
      <c r="A9" s="6" t="s">
        <v>6</v>
      </c>
      <c r="B9" s="2">
        <v>991529.88</v>
      </c>
      <c r="C9" s="2">
        <v>999668.51</v>
      </c>
      <c r="D9" s="9">
        <f t="shared" si="0"/>
        <v>8.2081540497800365E-3</v>
      </c>
      <c r="E9" s="3">
        <f t="shared" si="1"/>
        <v>8.1746503640787328E-3</v>
      </c>
      <c r="F9" s="2">
        <v>258.32998700000002</v>
      </c>
      <c r="G9" s="26">
        <f t="shared" si="7"/>
        <v>9.2987331442340171E-4</v>
      </c>
      <c r="H9" s="2">
        <f t="shared" si="3"/>
        <v>9.2944125005563574E-4</v>
      </c>
      <c r="I9" s="26">
        <f t="shared" si="2"/>
        <v>7.2782807353566348E-3</v>
      </c>
      <c r="J9" s="32">
        <f t="shared" si="4"/>
        <v>7.2860857701417814E-5</v>
      </c>
      <c r="K9" s="1">
        <f t="shared" si="5"/>
        <v>0</v>
      </c>
      <c r="L9" s="1">
        <f t="shared" si="6"/>
        <v>0</v>
      </c>
      <c r="M9" s="30">
        <v>2.6950000000000002E-2</v>
      </c>
    </row>
    <row r="10" spans="1:13" x14ac:dyDescent="0.3">
      <c r="A10" s="6" t="s">
        <v>7</v>
      </c>
      <c r="B10" s="2">
        <v>999668.51</v>
      </c>
      <c r="C10" s="2">
        <v>1006808.68</v>
      </c>
      <c r="D10" s="9">
        <f t="shared" si="0"/>
        <v>7.1425376798155416E-3</v>
      </c>
      <c r="E10" s="3">
        <f t="shared" si="1"/>
        <v>7.1171505714674021E-3</v>
      </c>
      <c r="F10" s="2">
        <v>257.73001099999999</v>
      </c>
      <c r="G10" s="26">
        <f t="shared" si="7"/>
        <v>-2.3225178267826108E-3</v>
      </c>
      <c r="H10" s="2">
        <f t="shared" si="3"/>
        <v>-2.32521905455406E-3</v>
      </c>
      <c r="I10" s="26">
        <f t="shared" si="2"/>
        <v>9.4650555065981523E-3</v>
      </c>
      <c r="J10" s="32">
        <f t="shared" si="4"/>
        <v>7.2327201388722173E-5</v>
      </c>
      <c r="K10" s="1">
        <f t="shared" si="5"/>
        <v>0</v>
      </c>
      <c r="L10" s="1">
        <f t="shared" si="6"/>
        <v>0</v>
      </c>
      <c r="M10" s="30">
        <v>2.6749999999999999E-2</v>
      </c>
    </row>
    <row r="11" spans="1:13" x14ac:dyDescent="0.3">
      <c r="A11" s="6" t="s">
        <v>8</v>
      </c>
      <c r="B11" s="2">
        <v>1006808.68</v>
      </c>
      <c r="C11" s="2">
        <v>1007181.69</v>
      </c>
      <c r="D11" s="9">
        <f t="shared" si="0"/>
        <v>3.7048746937684562E-4</v>
      </c>
      <c r="E11" s="3">
        <f t="shared" si="1"/>
        <v>3.7041885584081008E-4</v>
      </c>
      <c r="F11" s="2">
        <v>256.44000199999999</v>
      </c>
      <c r="G11" s="26">
        <f t="shared" si="7"/>
        <v>-5.0052727464477975E-3</v>
      </c>
      <c r="H11" s="2">
        <f t="shared" si="3"/>
        <v>-5.0178410802464209E-3</v>
      </c>
      <c r="I11" s="26">
        <f t="shared" si="2"/>
        <v>5.3757602158246431E-3</v>
      </c>
      <c r="J11" s="32">
        <f t="shared" si="4"/>
        <v>7.1793441400069824E-5</v>
      </c>
      <c r="K11" s="1">
        <f t="shared" si="5"/>
        <v>0</v>
      </c>
      <c r="L11" s="1">
        <f t="shared" si="6"/>
        <v>0</v>
      </c>
      <c r="M11" s="30">
        <v>2.6550000000000001E-2</v>
      </c>
    </row>
    <row r="12" spans="1:13" ht="27" customHeight="1" x14ac:dyDescent="0.3">
      <c r="A12" s="7" t="s">
        <v>9</v>
      </c>
      <c r="B12" s="2">
        <v>1007181.69</v>
      </c>
      <c r="C12" s="2">
        <v>1001099.14</v>
      </c>
      <c r="D12" s="9">
        <f t="shared" si="0"/>
        <v>-6.0391784922141367E-3</v>
      </c>
      <c r="E12" s="3">
        <f t="shared" si="1"/>
        <v>-6.0574880844606127E-3</v>
      </c>
      <c r="F12" s="2">
        <v>258.61999500000002</v>
      </c>
      <c r="G12" s="26">
        <f t="shared" si="7"/>
        <v>8.5009865192562373E-3</v>
      </c>
      <c r="H12" s="2">
        <f t="shared" si="3"/>
        <v>8.4650566161688055E-3</v>
      </c>
      <c r="I12" s="26">
        <f t="shared" si="2"/>
        <v>-1.4540165011470374E-2</v>
      </c>
      <c r="J12" s="32">
        <f t="shared" si="4"/>
        <v>7.1259577695270693E-5</v>
      </c>
      <c r="K12" s="1">
        <f t="shared" si="5"/>
        <v>1</v>
      </c>
      <c r="L12" s="1">
        <f t="shared" si="6"/>
        <v>3.7337453406198205E-5</v>
      </c>
      <c r="M12" s="30">
        <v>2.6349999999999998E-2</v>
      </c>
    </row>
    <row r="13" spans="1:13" x14ac:dyDescent="0.3">
      <c r="A13" s="7" t="s">
        <v>10</v>
      </c>
      <c r="B13" s="2">
        <v>1001099.14</v>
      </c>
      <c r="C13" s="2">
        <v>999790.05</v>
      </c>
      <c r="D13" s="9">
        <f t="shared" si="0"/>
        <v>-1.3076527066040455E-3</v>
      </c>
      <c r="E13" s="3">
        <f t="shared" si="1"/>
        <v>-1.3085084304790325E-3</v>
      </c>
      <c r="F13" s="2">
        <v>257.85998499999999</v>
      </c>
      <c r="G13" s="26">
        <f t="shared" si="7"/>
        <v>-2.9387132267171268E-3</v>
      </c>
      <c r="H13" s="2">
        <f t="shared" si="3"/>
        <v>-2.9430397227313007E-3</v>
      </c>
      <c r="I13" s="26">
        <f t="shared" si="2"/>
        <v>1.6310605201130812E-3</v>
      </c>
      <c r="J13" s="32">
        <f t="shared" si="4"/>
        <v>7.0725610233912661E-5</v>
      </c>
      <c r="K13" s="1">
        <f t="shared" si="5"/>
        <v>1</v>
      </c>
      <c r="L13" s="1">
        <f t="shared" si="6"/>
        <v>1.8999267843290426E-6</v>
      </c>
      <c r="M13" s="30">
        <v>2.615E-2</v>
      </c>
    </row>
    <row r="14" spans="1:13" x14ac:dyDescent="0.3">
      <c r="A14" s="7" t="s">
        <v>11</v>
      </c>
      <c r="B14" s="2">
        <v>999790.05</v>
      </c>
      <c r="C14" s="2">
        <v>999911.04</v>
      </c>
      <c r="D14" s="9">
        <f t="shared" si="0"/>
        <v>1.2101540718467696E-4</v>
      </c>
      <c r="E14" s="3">
        <f t="shared" si="1"/>
        <v>1.2100808541098124E-4</v>
      </c>
      <c r="F14" s="2">
        <v>258.29998799999998</v>
      </c>
      <c r="G14" s="26">
        <f t="shared" si="7"/>
        <v>1.7063640176664396E-3</v>
      </c>
      <c r="H14" s="2">
        <f t="shared" si="3"/>
        <v>1.7049098325970828E-3</v>
      </c>
      <c r="I14" s="26">
        <f t="shared" si="2"/>
        <v>-1.5853486104817627E-3</v>
      </c>
      <c r="J14" s="32">
        <f t="shared" si="4"/>
        <v>7.0191538975583612E-5</v>
      </c>
      <c r="K14" s="1">
        <f t="shared" si="5"/>
        <v>0</v>
      </c>
      <c r="L14" s="1">
        <f t="shared" si="6"/>
        <v>0</v>
      </c>
      <c r="M14" s="30">
        <v>2.5950000000000001E-2</v>
      </c>
    </row>
    <row r="15" spans="1:13" x14ac:dyDescent="0.3">
      <c r="A15" s="7" t="s">
        <v>12</v>
      </c>
      <c r="B15" s="2">
        <v>999911.04</v>
      </c>
      <c r="C15" s="2">
        <v>1008545.32</v>
      </c>
      <c r="D15" s="9">
        <f t="shared" si="0"/>
        <v>8.6350481738854956E-3</v>
      </c>
      <c r="E15" s="3">
        <f t="shared" si="1"/>
        <v>8.5979793863944047E-3</v>
      </c>
      <c r="F15" s="2">
        <v>259.98998999999998</v>
      </c>
      <c r="G15" s="26">
        <f t="shared" si="7"/>
        <v>6.5427877604082862E-3</v>
      </c>
      <c r="H15" s="2">
        <f t="shared" si="3"/>
        <v>6.5214766301974394E-3</v>
      </c>
      <c r="I15" s="26">
        <f t="shared" si="2"/>
        <v>2.0922604134772094E-3</v>
      </c>
      <c r="J15" s="32">
        <f t="shared" si="4"/>
        <v>6.9657363879649381E-5</v>
      </c>
      <c r="K15" s="1">
        <f t="shared" si="5"/>
        <v>0</v>
      </c>
      <c r="L15" s="1">
        <f t="shared" si="6"/>
        <v>0</v>
      </c>
      <c r="M15" s="30">
        <v>2.5749999999999999E-2</v>
      </c>
    </row>
    <row r="16" spans="1:13" x14ac:dyDescent="0.3">
      <c r="A16" s="7" t="s">
        <v>13</v>
      </c>
      <c r="B16" s="2">
        <v>1008545.32</v>
      </c>
      <c r="C16" s="2">
        <v>1011374.35</v>
      </c>
      <c r="D16" s="9">
        <f t="shared" si="0"/>
        <v>2.8050598658273529E-3</v>
      </c>
      <c r="E16" s="3">
        <f t="shared" si="1"/>
        <v>2.8011330270332024E-3</v>
      </c>
      <c r="F16" s="2">
        <v>259.76001000000002</v>
      </c>
      <c r="G16" s="26">
        <f t="shared" si="7"/>
        <v>-8.8457251758022881E-4</v>
      </c>
      <c r="H16" s="2">
        <f t="shared" si="3"/>
        <v>-8.8496398271955233E-4</v>
      </c>
      <c r="I16" s="26">
        <f t="shared" si="2"/>
        <v>3.6896323834075817E-3</v>
      </c>
      <c r="J16" s="32">
        <f t="shared" si="4"/>
        <v>6.9123084906141941E-5</v>
      </c>
      <c r="K16" s="1">
        <f t="shared" si="5"/>
        <v>0</v>
      </c>
      <c r="L16" s="1">
        <f t="shared" si="6"/>
        <v>0</v>
      </c>
      <c r="M16" s="30">
        <v>2.555E-2</v>
      </c>
    </row>
    <row r="17" spans="1:13" x14ac:dyDescent="0.3">
      <c r="A17" s="7" t="s">
        <v>14</v>
      </c>
      <c r="B17" s="2">
        <v>1011374.35</v>
      </c>
      <c r="C17" s="2">
        <v>1009364.39</v>
      </c>
      <c r="D17" s="9">
        <f t="shared" si="0"/>
        <v>-1.987355127208823E-3</v>
      </c>
      <c r="E17" s="3">
        <f t="shared" si="1"/>
        <v>-1.9893325377219385E-3</v>
      </c>
      <c r="F17" s="2">
        <v>260.35998499999999</v>
      </c>
      <c r="G17" s="26">
        <f t="shared" si="7"/>
        <v>2.3097281217381305E-3</v>
      </c>
      <c r="H17" s="2">
        <f t="shared" si="3"/>
        <v>2.3070647999843394E-3</v>
      </c>
      <c r="I17" s="26">
        <f t="shared" si="2"/>
        <v>-4.2970832489469535E-3</v>
      </c>
      <c r="J17" s="32">
        <f t="shared" si="4"/>
        <v>6.8588702014205083E-5</v>
      </c>
      <c r="K17" s="1">
        <f t="shared" si="5"/>
        <v>1</v>
      </c>
      <c r="L17" s="1">
        <f t="shared" si="6"/>
        <v>4.2269050289202481E-6</v>
      </c>
      <c r="M17" s="30">
        <v>2.5350000000000001E-2</v>
      </c>
    </row>
    <row r="18" spans="1:13" x14ac:dyDescent="0.3">
      <c r="A18" s="7" t="s">
        <v>15</v>
      </c>
      <c r="B18" s="2">
        <v>1009364.39</v>
      </c>
      <c r="C18" s="2">
        <v>1010983.82</v>
      </c>
      <c r="D18" s="9">
        <f t="shared" si="0"/>
        <v>1.6044057191277883E-3</v>
      </c>
      <c r="E18" s="3">
        <f t="shared" si="1"/>
        <v>1.6031200352606655E-3</v>
      </c>
      <c r="F18" s="2">
        <v>260.23001099999999</v>
      </c>
      <c r="G18" s="26">
        <f t="shared" si="7"/>
        <v>-4.9920881659293315E-4</v>
      </c>
      <c r="H18" s="2">
        <f t="shared" si="3"/>
        <v>-4.9933346279893136E-4</v>
      </c>
      <c r="I18" s="26">
        <f t="shared" si="2"/>
        <v>2.1036145357207214E-3</v>
      </c>
      <c r="J18" s="32">
        <f t="shared" si="4"/>
        <v>6.8054215163648735E-5</v>
      </c>
      <c r="K18" s="1">
        <f t="shared" si="5"/>
        <v>0</v>
      </c>
      <c r="L18" s="1">
        <f t="shared" si="6"/>
        <v>0</v>
      </c>
      <c r="M18" s="30">
        <v>2.5149999999999999E-2</v>
      </c>
    </row>
    <row r="19" spans="1:13" x14ac:dyDescent="0.3">
      <c r="A19" s="7" t="s">
        <v>16</v>
      </c>
      <c r="B19" s="2">
        <v>1010983.82</v>
      </c>
      <c r="C19" s="2">
        <v>1013768.31</v>
      </c>
      <c r="D19" s="9">
        <f t="shared" si="0"/>
        <v>2.7542379461622524E-3</v>
      </c>
      <c r="E19" s="3">
        <f t="shared" si="1"/>
        <v>2.750451982866197E-3</v>
      </c>
      <c r="F19" s="2">
        <v>262.86999500000002</v>
      </c>
      <c r="G19" s="26">
        <f t="shared" si="7"/>
        <v>1.0144809931242005E-2</v>
      </c>
      <c r="H19" s="2">
        <f t="shared" si="3"/>
        <v>1.0093696745333967E-2</v>
      </c>
      <c r="I19" s="26">
        <f t="shared" si="2"/>
        <v>-7.3905719850797524E-3</v>
      </c>
      <c r="J19" s="32">
        <f t="shared" si="4"/>
        <v>6.7519624313616688E-5</v>
      </c>
      <c r="K19" s="1">
        <f t="shared" si="5"/>
        <v>0</v>
      </c>
      <c r="L19" s="1">
        <f t="shared" si="6"/>
        <v>0</v>
      </c>
      <c r="M19" s="30">
        <v>2.495E-2</v>
      </c>
    </row>
    <row r="20" spans="1:13" x14ac:dyDescent="0.3">
      <c r="A20" s="7" t="s">
        <v>17</v>
      </c>
      <c r="B20" s="2">
        <v>1013768.31</v>
      </c>
      <c r="C20" s="2">
        <v>1004581.67</v>
      </c>
      <c r="D20" s="9">
        <f t="shared" si="0"/>
        <v>-9.0618733189637979E-3</v>
      </c>
      <c r="E20" s="3">
        <f t="shared" si="1"/>
        <v>-9.1031818373981423E-3</v>
      </c>
      <c r="F20" s="2">
        <v>262.709991</v>
      </c>
      <c r="G20" s="26">
        <f t="shared" si="7"/>
        <v>-6.0868110869793934E-4</v>
      </c>
      <c r="H20" s="2">
        <f t="shared" si="3"/>
        <v>-6.0886643024894932E-4</v>
      </c>
      <c r="I20" s="26">
        <f t="shared" si="2"/>
        <v>-8.4531922102658585E-3</v>
      </c>
      <c r="J20" s="32">
        <f t="shared" si="4"/>
        <v>6.6984929423918871E-5</v>
      </c>
      <c r="K20" s="1">
        <f t="shared" si="5"/>
        <v>1</v>
      </c>
      <c r="L20" s="1">
        <f t="shared" si="6"/>
        <v>8.3336052919156446E-5</v>
      </c>
      <c r="M20" s="30">
        <v>2.4750000000000001E-2</v>
      </c>
    </row>
    <row r="21" spans="1:13" x14ac:dyDescent="0.3">
      <c r="A21" s="7" t="s">
        <v>18</v>
      </c>
      <c r="B21" s="2">
        <v>1004581.67</v>
      </c>
      <c r="C21" s="2">
        <v>1013444.3</v>
      </c>
      <c r="D21" s="9">
        <f t="shared" si="0"/>
        <v>8.8222095471839346E-3</v>
      </c>
      <c r="E21" s="3">
        <f t="shared" si="1"/>
        <v>8.7835212343012978E-3</v>
      </c>
      <c r="F21" s="2">
        <v>265.01001000000002</v>
      </c>
      <c r="G21" s="26">
        <f t="shared" si="7"/>
        <v>8.7549734642562438E-3</v>
      </c>
      <c r="H21" s="2">
        <f t="shared" si="3"/>
        <v>8.7168709137894207E-3</v>
      </c>
      <c r="I21" s="26">
        <f t="shared" si="2"/>
        <v>6.7236082927690788E-5</v>
      </c>
      <c r="J21" s="32">
        <f t="shared" si="4"/>
        <v>6.6450130453699074E-5</v>
      </c>
      <c r="K21" s="1">
        <f t="shared" si="5"/>
        <v>0</v>
      </c>
      <c r="L21" s="1">
        <f t="shared" si="6"/>
        <v>0</v>
      </c>
      <c r="M21" s="30">
        <v>2.4549999999999999E-2</v>
      </c>
    </row>
    <row r="22" spans="1:13" x14ac:dyDescent="0.3">
      <c r="A22" s="6">
        <v>42747</v>
      </c>
      <c r="B22" s="2">
        <v>1013444.3</v>
      </c>
      <c r="C22" s="2">
        <v>1026024.48</v>
      </c>
      <c r="D22" s="9">
        <f t="shared" si="0"/>
        <v>1.2413291978651264E-2</v>
      </c>
      <c r="E22" s="3">
        <f t="shared" si="1"/>
        <v>1.233687877950327E-2</v>
      </c>
      <c r="F22" s="2">
        <v>264.459991</v>
      </c>
      <c r="G22" s="26">
        <f t="shared" si="7"/>
        <v>-2.0754649984731088E-3</v>
      </c>
      <c r="H22" s="2">
        <f t="shared" si="3"/>
        <v>-2.0776217606593744E-3</v>
      </c>
      <c r="I22" s="26">
        <f t="shared" si="2"/>
        <v>1.4488756977124373E-2</v>
      </c>
      <c r="J22" s="32">
        <f t="shared" si="4"/>
        <v>6.5915227362545181E-5</v>
      </c>
      <c r="K22" s="1">
        <f t="shared" si="5"/>
        <v>0</v>
      </c>
      <c r="L22" s="1">
        <f t="shared" si="6"/>
        <v>0</v>
      </c>
      <c r="M22" s="30">
        <v>2.435E-2</v>
      </c>
    </row>
    <row r="23" spans="1:13" x14ac:dyDescent="0.3">
      <c r="A23" s="6">
        <v>42837</v>
      </c>
      <c r="B23" s="2">
        <v>1026024.48</v>
      </c>
      <c r="C23" s="2">
        <v>1019101.67</v>
      </c>
      <c r="D23" s="9">
        <f t="shared" si="0"/>
        <v>-6.747217181406806E-3</v>
      </c>
      <c r="E23" s="3">
        <f t="shared" si="1"/>
        <v>-6.7700825610810334E-3</v>
      </c>
      <c r="F23" s="2">
        <v>264.14001500000001</v>
      </c>
      <c r="G23" s="26">
        <f t="shared" si="7"/>
        <v>-1.2099221465979859E-3</v>
      </c>
      <c r="H23" s="2">
        <f t="shared" si="3"/>
        <v>-1.2106546933410339E-3</v>
      </c>
      <c r="I23" s="26">
        <f t="shared" si="2"/>
        <v>-5.5372950348088201E-3</v>
      </c>
      <c r="J23" s="32">
        <f t="shared" si="4"/>
        <v>6.5380220110045073E-5</v>
      </c>
      <c r="K23" s="1">
        <f t="shared" si="5"/>
        <v>1</v>
      </c>
      <c r="L23" s="1">
        <f t="shared" si="6"/>
        <v>4.6411483355154153E-5</v>
      </c>
      <c r="M23" s="30">
        <v>2.4150000000000001E-2</v>
      </c>
    </row>
    <row r="24" spans="1:13" x14ac:dyDescent="0.3">
      <c r="A24" s="8">
        <v>42867</v>
      </c>
      <c r="B24" s="4">
        <v>1019101.67</v>
      </c>
      <c r="C24" s="4">
        <v>1025139.04</v>
      </c>
      <c r="D24" s="10">
        <f t="shared" si="0"/>
        <v>5.9242077387626768E-3</v>
      </c>
      <c r="E24" s="5">
        <f t="shared" si="1"/>
        <v>5.9067286194127233E-3</v>
      </c>
      <c r="F24" s="4">
        <v>263.19000199999999</v>
      </c>
      <c r="G24" s="26">
        <f t="shared" si="7"/>
        <v>-3.5966265845787104E-3</v>
      </c>
      <c r="H24" s="4">
        <f t="shared" si="3"/>
        <v>-3.6031099962486103E-3</v>
      </c>
      <c r="I24" s="26">
        <f t="shared" si="2"/>
        <v>9.5208343233413872E-3</v>
      </c>
      <c r="J24" s="32">
        <f t="shared" si="4"/>
        <v>6.4845108655120498E-5</v>
      </c>
      <c r="K24" s="1">
        <f t="shared" si="5"/>
        <v>0</v>
      </c>
      <c r="L24" s="1">
        <f t="shared" si="6"/>
        <v>0</v>
      </c>
      <c r="M24" s="30">
        <v>2.3949999999999999E-2</v>
      </c>
    </row>
    <row r="25" spans="1:13" x14ac:dyDescent="0.3">
      <c r="A25" s="14"/>
      <c r="B25" s="14"/>
      <c r="C25" s="14"/>
      <c r="D25" s="15">
        <f>SUM(D2:D24)</f>
        <v>2.4127750167530215E-2</v>
      </c>
      <c r="E25" s="12">
        <f t="shared" si="1"/>
        <v>2.3841274858909418E-2</v>
      </c>
      <c r="F25" s="14"/>
      <c r="G25" s="15">
        <f>SUM(G2:G24)</f>
        <v>2.209116828567903E-2</v>
      </c>
      <c r="H25" s="13"/>
      <c r="I25" s="13">
        <f t="shared" si="2"/>
        <v>2.0365818818511849E-3</v>
      </c>
      <c r="J25" s="13"/>
      <c r="K25" s="34"/>
      <c r="L25" s="69"/>
      <c r="M25" s="31"/>
    </row>
    <row r="28" spans="1:13" x14ac:dyDescent="0.3">
      <c r="C28" t="s">
        <v>23</v>
      </c>
      <c r="D28" s="68">
        <f>(1+D25)^12 - 1</f>
        <v>0.33121931215414935</v>
      </c>
      <c r="G28" s="11">
        <f>(1+G25)^12 - 1</f>
        <v>0.29979729156361823</v>
      </c>
    </row>
    <row r="29" spans="1:13" x14ac:dyDescent="0.3">
      <c r="C29" t="s">
        <v>80</v>
      </c>
      <c r="D29" s="11">
        <f>STDEV(D2:D24)*SQRT(252)</f>
        <v>9.5924214140504435E-2</v>
      </c>
      <c r="E29" s="11"/>
      <c r="F29" s="11"/>
      <c r="G29" s="11">
        <f t="shared" ref="G29:I29" si="8">STDEV(G2:G24)*SQRT(252)</f>
        <v>6.5281644553510224E-2</v>
      </c>
      <c r="H29" s="11"/>
      <c r="I29" s="11">
        <f t="shared" si="8"/>
        <v>0.10788347188440657</v>
      </c>
    </row>
    <row r="30" spans="1:13" x14ac:dyDescent="0.3">
      <c r="C30" t="s">
        <v>81</v>
      </c>
      <c r="D30" s="11">
        <f>(C8-C5) / C5</f>
        <v>-1.78076751039381E-2</v>
      </c>
    </row>
    <row r="31" spans="1:13" x14ac:dyDescent="0.3">
      <c r="J31" s="17"/>
      <c r="K31" s="18"/>
      <c r="L3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selection activeCell="B12" sqref="B12"/>
    </sheetView>
  </sheetViews>
  <sheetFormatPr defaultRowHeight="14.4" x14ac:dyDescent="0.3"/>
  <cols>
    <col min="1" max="1" width="29.77734375" customWidth="1"/>
    <col min="2" max="2" width="12.6640625" customWidth="1"/>
    <col min="4" max="4" width="16.77734375" customWidth="1"/>
  </cols>
  <sheetData>
    <row r="1" spans="1:30" x14ac:dyDescent="0.3">
      <c r="A1" s="27" t="s">
        <v>23</v>
      </c>
      <c r="B1" s="28" t="s">
        <v>43</v>
      </c>
    </row>
    <row r="2" spans="1:30" x14ac:dyDescent="0.3">
      <c r="A2" t="s">
        <v>3</v>
      </c>
      <c r="B2" s="11">
        <f>Sheet5!Y8</f>
        <v>0.33121931215414935</v>
      </c>
    </row>
    <row r="3" spans="1:30" x14ac:dyDescent="0.3">
      <c r="A3" t="s">
        <v>32</v>
      </c>
      <c r="B3" s="11">
        <f>Sheet5!AB8</f>
        <v>0.29979729156361823</v>
      </c>
    </row>
    <row r="4" spans="1:30" x14ac:dyDescent="0.3">
      <c r="A4" t="s">
        <v>20</v>
      </c>
      <c r="B4" s="17">
        <v>2.75E-2</v>
      </c>
    </row>
    <row r="5" spans="1:30" x14ac:dyDescent="0.3">
      <c r="A5" t="s">
        <v>28</v>
      </c>
      <c r="B5" s="17">
        <f>B3-B4</f>
        <v>0.2722972915636182</v>
      </c>
      <c r="D5" s="62" t="s">
        <v>75</v>
      </c>
      <c r="E5" s="63"/>
    </row>
    <row r="6" spans="1:30" x14ac:dyDescent="0.3">
      <c r="A6" t="s">
        <v>27</v>
      </c>
      <c r="B6" s="17">
        <f>B2-B4</f>
        <v>0.30371931215414932</v>
      </c>
      <c r="D6" s="66" t="s">
        <v>3</v>
      </c>
      <c r="E6" s="64">
        <f>B2</f>
        <v>0.33121931215414935</v>
      </c>
    </row>
    <row r="7" spans="1:30" x14ac:dyDescent="0.3">
      <c r="A7" t="s">
        <v>48</v>
      </c>
      <c r="B7" s="17">
        <f>(Sheet1!C9-Sheet1!C5)/Sheet1!C5</f>
        <v>-9.7456891946795278E-3</v>
      </c>
      <c r="D7" s="66" t="s">
        <v>20</v>
      </c>
      <c r="E7" s="64">
        <f>B4</f>
        <v>2.75E-2</v>
      </c>
    </row>
    <row r="8" spans="1:30" ht="28.2" customHeight="1" x14ac:dyDescent="0.3">
      <c r="A8" t="s">
        <v>40</v>
      </c>
      <c r="B8" s="17">
        <f>Sheet5!Y8-Sheet5!AB8</f>
        <v>3.1422020590531119E-2</v>
      </c>
      <c r="D8" s="56" t="s">
        <v>33</v>
      </c>
      <c r="E8" s="64">
        <f>B10</f>
        <v>9.5924214140504435E-2</v>
      </c>
      <c r="X8" s="24" t="s">
        <v>31</v>
      </c>
      <c r="Y8" s="11">
        <f xml:space="preserve"> (1+Sheet1!D25) ^12 - 1</f>
        <v>0.33121931215414935</v>
      </c>
      <c r="Z8" s="11"/>
      <c r="AA8" s="11"/>
      <c r="AB8" s="11">
        <f xml:space="preserve"> (1+Sheet1!G25) ^12 - 1</f>
        <v>0.29979729156361823</v>
      </c>
    </row>
    <row r="9" spans="1:30" ht="16.8" customHeight="1" x14ac:dyDescent="0.3">
      <c r="A9" s="24" t="s">
        <v>34</v>
      </c>
      <c r="B9" s="17">
        <f>Sheet5!AB10</f>
        <v>6.5281644553510224E-2</v>
      </c>
      <c r="D9" s="50" t="s">
        <v>75</v>
      </c>
      <c r="E9" s="65">
        <f>(E6-E7)/E8</f>
        <v>3.1662423807744542</v>
      </c>
      <c r="X9" t="s">
        <v>29</v>
      </c>
      <c r="Y9" s="16">
        <f>_xlfn.STDEV.S(Sheet1!D2:D24)</f>
        <v>6.0426575077400036E-3</v>
      </c>
      <c r="Z9" s="16"/>
      <c r="AA9" s="16"/>
      <c r="AB9" s="16">
        <f>_xlfn.STDEV.S(Sheet1!G2:G24)</f>
        <v>4.112357063473863E-3</v>
      </c>
    </row>
    <row r="10" spans="1:30" ht="10.199999999999999" customHeight="1" x14ac:dyDescent="0.3">
      <c r="A10" s="24" t="s">
        <v>33</v>
      </c>
      <c r="B10" s="17">
        <f>Sheet5!Y10</f>
        <v>9.5924214140504435E-2</v>
      </c>
      <c r="X10" s="24" t="s">
        <v>30</v>
      </c>
      <c r="Y10" s="11">
        <f>Y9*SQRT(252)</f>
        <v>9.5924214140504435E-2</v>
      </c>
      <c r="Z10" s="11"/>
      <c r="AA10" s="11"/>
      <c r="AB10" s="11">
        <f>AB9*SQRT(252)</f>
        <v>6.5281644553510224E-2</v>
      </c>
    </row>
    <row r="11" spans="1:30" ht="42.6" customHeight="1" x14ac:dyDescent="0.3">
      <c r="A11" s="24" t="s">
        <v>41</v>
      </c>
      <c r="B11" s="17">
        <f>Sheet5!AD12</f>
        <v>0.10788347188440657</v>
      </c>
      <c r="D11" s="62" t="s">
        <v>22</v>
      </c>
      <c r="E11" s="63"/>
      <c r="X11" s="24" t="s">
        <v>37</v>
      </c>
      <c r="Y11" s="16"/>
      <c r="AB11" s="11"/>
      <c r="AD11">
        <f>_xlfn.STDEV.S(Sheet1!I2:I24)</f>
        <v>6.7960199328659186E-3</v>
      </c>
    </row>
    <row r="12" spans="1:30" ht="51.6" customHeight="1" x14ac:dyDescent="0.3">
      <c r="A12" s="24" t="s">
        <v>42</v>
      </c>
      <c r="B12" s="17">
        <f>SQRT(1/24*Sheet1!L25)</f>
        <v>0</v>
      </c>
      <c r="D12" s="66" t="s">
        <v>3</v>
      </c>
      <c r="E12" s="64">
        <f>B6</f>
        <v>0.30371931215414932</v>
      </c>
      <c r="X12" s="24" t="s">
        <v>38</v>
      </c>
      <c r="Y12" s="11"/>
      <c r="AB12" s="11"/>
      <c r="AD12" s="17">
        <f>AD11*SQRT(252)</f>
        <v>0.10788347188440657</v>
      </c>
    </row>
    <row r="13" spans="1:30" ht="57.6" x14ac:dyDescent="0.3">
      <c r="A13" s="24" t="s">
        <v>47</v>
      </c>
      <c r="B13" s="17">
        <f>B12*SQRT(252)</f>
        <v>0</v>
      </c>
      <c r="D13" s="66" t="s">
        <v>76</v>
      </c>
      <c r="E13" s="67">
        <v>0.21</v>
      </c>
    </row>
    <row r="14" spans="1:30" x14ac:dyDescent="0.3">
      <c r="A14" s="19" t="s">
        <v>25</v>
      </c>
      <c r="D14" s="50" t="s">
        <v>22</v>
      </c>
      <c r="E14" s="65">
        <f>E12/E13</f>
        <v>1.4462824388292825</v>
      </c>
    </row>
    <row r="15" spans="1:30" x14ac:dyDescent="0.3">
      <c r="A15" t="s">
        <v>21</v>
      </c>
      <c r="B15" s="16">
        <f>B6/B10</f>
        <v>3.1662423807744542</v>
      </c>
    </row>
    <row r="16" spans="1:30" x14ac:dyDescent="0.3">
      <c r="A16" t="s">
        <v>22</v>
      </c>
      <c r="B16">
        <f>B6/B17</f>
        <v>1.4462824388292825</v>
      </c>
    </row>
    <row r="17" spans="1:5" x14ac:dyDescent="0.3">
      <c r="A17" t="s">
        <v>24</v>
      </c>
      <c r="B17">
        <v>0.21</v>
      </c>
    </row>
    <row r="18" spans="1:5" x14ac:dyDescent="0.3">
      <c r="A18" t="s">
        <v>26</v>
      </c>
      <c r="B18" s="37">
        <f>B2-(B4 + B17*B5)</f>
        <v>0.24653688092578951</v>
      </c>
    </row>
    <row r="19" spans="1:5" x14ac:dyDescent="0.3">
      <c r="A19" t="s">
        <v>39</v>
      </c>
      <c r="B19" s="18">
        <f>B8/B11</f>
        <v>0.29125889296739293</v>
      </c>
      <c r="D19" t="s">
        <v>77</v>
      </c>
    </row>
    <row r="20" spans="1:5" x14ac:dyDescent="0.3">
      <c r="A20" t="s">
        <v>46</v>
      </c>
      <c r="B20" s="18" t="e">
        <f>B6/B13</f>
        <v>#DIV/0!</v>
      </c>
      <c r="D20" t="s">
        <v>78</v>
      </c>
      <c r="E20" s="16">
        <v>0.30370000000000003</v>
      </c>
    </row>
    <row r="21" spans="1:5" x14ac:dyDescent="0.3">
      <c r="D21" t="s">
        <v>76</v>
      </c>
      <c r="E21">
        <v>0.31169999999999998</v>
      </c>
    </row>
    <row r="22" spans="1:5" x14ac:dyDescent="0.3">
      <c r="D22" t="s">
        <v>79</v>
      </c>
      <c r="E22">
        <f>0.2998-0.0275</f>
        <v>0.27229999999999999</v>
      </c>
    </row>
    <row r="23" spans="1:5" x14ac:dyDescent="0.3">
      <c r="E23">
        <f>E20 - ( 0.0275 +E21*E22)</f>
        <v>0.19132409000000006</v>
      </c>
    </row>
    <row r="25" spans="1:5" x14ac:dyDescent="0.3">
      <c r="E25">
        <f>E20-(0.0279+0.21*E22)</f>
        <v>0.21861700000000003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0"/>
  <sheetViews>
    <sheetView workbookViewId="0">
      <selection activeCell="E24" sqref="E24"/>
    </sheetView>
  </sheetViews>
  <sheetFormatPr defaultRowHeight="14.4" x14ac:dyDescent="0.3"/>
  <cols>
    <col min="1" max="1" width="19.33203125" bestFit="1" customWidth="1"/>
    <col min="2" max="2" width="11.88671875" customWidth="1"/>
    <col min="3" max="3" width="12.88671875" customWidth="1"/>
    <col min="4" max="5" width="10.33203125" bestFit="1" customWidth="1"/>
    <col min="6" max="6" width="13.109375" customWidth="1"/>
  </cols>
  <sheetData>
    <row r="2" spans="1:6" ht="27" customHeight="1" x14ac:dyDescent="0.3">
      <c r="A2" s="40" t="s">
        <v>0</v>
      </c>
      <c r="B2" s="43">
        <v>43041</v>
      </c>
      <c r="C2" s="43">
        <v>43053</v>
      </c>
      <c r="D2" s="43">
        <v>43060</v>
      </c>
      <c r="E2" s="43">
        <v>43067</v>
      </c>
      <c r="F2" s="44">
        <v>43074</v>
      </c>
    </row>
    <row r="3" spans="1:6" ht="15.6" customHeight="1" x14ac:dyDescent="0.3">
      <c r="A3" s="41" t="s">
        <v>49</v>
      </c>
      <c r="B3" s="2">
        <v>1860144</v>
      </c>
      <c r="C3" s="2">
        <v>1636470</v>
      </c>
      <c r="D3" s="2">
        <v>1529576</v>
      </c>
      <c r="E3" s="2">
        <v>1586056</v>
      </c>
      <c r="F3" s="38">
        <v>1605330</v>
      </c>
    </row>
    <row r="4" spans="1:6" ht="18.600000000000001" customHeight="1" x14ac:dyDescent="0.3">
      <c r="A4" s="41" t="s">
        <v>50</v>
      </c>
      <c r="B4" s="2">
        <v>1000518.64</v>
      </c>
      <c r="C4" s="2">
        <v>1006808.68</v>
      </c>
      <c r="D4" s="2">
        <v>1008545.32</v>
      </c>
      <c r="E4" s="2">
        <v>1013768.31</v>
      </c>
      <c r="F4" s="38">
        <v>1025139.04</v>
      </c>
    </row>
    <row r="5" spans="1:6" ht="19.8" customHeight="1" x14ac:dyDescent="0.3">
      <c r="A5" s="42" t="s">
        <v>51</v>
      </c>
      <c r="B5" s="4">
        <f>B3/B4</f>
        <v>1.8591797550118607</v>
      </c>
      <c r="C5" s="4">
        <f>C3/C4</f>
        <v>1.6254031500801125</v>
      </c>
      <c r="D5" s="4">
        <f>D3/D4</f>
        <v>1.5166160307005341</v>
      </c>
      <c r="E5" s="4">
        <f>E3/E4</f>
        <v>1.5645152687797075</v>
      </c>
      <c r="F5" s="39">
        <f>F3/F4</f>
        <v>1.5659631887592536</v>
      </c>
    </row>
    <row r="24" spans="4:4" x14ac:dyDescent="0.3">
      <c r="D24" s="36"/>
    </row>
    <row r="69" spans="3:3" x14ac:dyDescent="0.3">
      <c r="C69" s="35"/>
    </row>
    <row r="70" spans="3:3" x14ac:dyDescent="0.3">
      <c r="C70" s="35"/>
    </row>
    <row r="71" spans="3:3" x14ac:dyDescent="0.3">
      <c r="C71" s="35"/>
    </row>
    <row r="72" spans="3:3" x14ac:dyDescent="0.3">
      <c r="C72" s="35"/>
    </row>
    <row r="73" spans="3:3" x14ac:dyDescent="0.3">
      <c r="C73" s="35"/>
    </row>
    <row r="74" spans="3:3" x14ac:dyDescent="0.3">
      <c r="C74" s="35"/>
    </row>
    <row r="75" spans="3:3" x14ac:dyDescent="0.3">
      <c r="C75" s="35"/>
    </row>
    <row r="76" spans="3:3" x14ac:dyDescent="0.3">
      <c r="C76" s="35"/>
    </row>
    <row r="91" spans="3:3" x14ac:dyDescent="0.3">
      <c r="C91" s="35"/>
    </row>
    <row r="94" spans="3:3" x14ac:dyDescent="0.3">
      <c r="C94" s="35"/>
    </row>
    <row r="95" spans="3:3" x14ac:dyDescent="0.3">
      <c r="C95" s="35"/>
    </row>
    <row r="96" spans="3:3" x14ac:dyDescent="0.3">
      <c r="C96" s="35"/>
    </row>
    <row r="97" spans="3:3" x14ac:dyDescent="0.3">
      <c r="C97" s="35"/>
    </row>
    <row r="98" spans="3:3" x14ac:dyDescent="0.3">
      <c r="C98" s="35"/>
    </row>
    <row r="99" spans="3:3" x14ac:dyDescent="0.3">
      <c r="C99" s="35"/>
    </row>
    <row r="103" spans="3:3" x14ac:dyDescent="0.3">
      <c r="C103" s="35"/>
    </row>
    <row r="115" spans="3:3" x14ac:dyDescent="0.3">
      <c r="C115" s="35"/>
    </row>
    <row r="117" spans="3:3" x14ac:dyDescent="0.3">
      <c r="C117" s="35"/>
    </row>
    <row r="118" spans="3:3" x14ac:dyDescent="0.3">
      <c r="C118" s="35"/>
    </row>
    <row r="119" spans="3:3" x14ac:dyDescent="0.3">
      <c r="C119" s="35"/>
    </row>
    <row r="120" spans="3:3" x14ac:dyDescent="0.3">
      <c r="C120" s="35"/>
    </row>
    <row r="121" spans="3:3" x14ac:dyDescent="0.3">
      <c r="C121" s="35"/>
    </row>
    <row r="122" spans="3:3" x14ac:dyDescent="0.3">
      <c r="C122" s="35"/>
    </row>
    <row r="123" spans="3:3" x14ac:dyDescent="0.3">
      <c r="C123" s="35"/>
    </row>
    <row r="124" spans="3:3" x14ac:dyDescent="0.3">
      <c r="C124" s="35"/>
    </row>
    <row r="125" spans="3:3" x14ac:dyDescent="0.3">
      <c r="C125" s="35"/>
    </row>
    <row r="126" spans="3:3" x14ac:dyDescent="0.3">
      <c r="C126" s="35"/>
    </row>
    <row r="127" spans="3:3" x14ac:dyDescent="0.3">
      <c r="C127" s="35"/>
    </row>
    <row r="128" spans="3:3" x14ac:dyDescent="0.3">
      <c r="C128" s="35"/>
    </row>
    <row r="129" spans="3:3" x14ac:dyDescent="0.3">
      <c r="C129" s="35"/>
    </row>
    <row r="130" spans="3:3" x14ac:dyDescent="0.3">
      <c r="C130" s="35"/>
    </row>
    <row r="131" spans="3:3" x14ac:dyDescent="0.3">
      <c r="C131" s="35"/>
    </row>
    <row r="132" spans="3:3" x14ac:dyDescent="0.3">
      <c r="C132" s="35"/>
    </row>
    <row r="133" spans="3:3" x14ac:dyDescent="0.3">
      <c r="C133" s="35"/>
    </row>
    <row r="134" spans="3:3" x14ac:dyDescent="0.3">
      <c r="C134" s="35"/>
    </row>
    <row r="135" spans="3:3" x14ac:dyDescent="0.3">
      <c r="C135" s="35"/>
    </row>
    <row r="136" spans="3:3" x14ac:dyDescent="0.3">
      <c r="C136" s="35"/>
    </row>
    <row r="138" spans="3:3" x14ac:dyDescent="0.3">
      <c r="C138" s="35"/>
    </row>
    <row r="139" spans="3:3" x14ac:dyDescent="0.3">
      <c r="C139" s="35"/>
    </row>
    <row r="140" spans="3:3" x14ac:dyDescent="0.3">
      <c r="C140" s="35"/>
    </row>
    <row r="141" spans="3:3" x14ac:dyDescent="0.3">
      <c r="C141" s="35"/>
    </row>
    <row r="142" spans="3:3" x14ac:dyDescent="0.3">
      <c r="C142" s="35"/>
    </row>
    <row r="143" spans="3:3" x14ac:dyDescent="0.3">
      <c r="C143" s="35"/>
    </row>
    <row r="144" spans="3:3" x14ac:dyDescent="0.3">
      <c r="C144" s="35"/>
    </row>
    <row r="145" spans="3:3" x14ac:dyDescent="0.3">
      <c r="C145" s="35"/>
    </row>
    <row r="146" spans="3:3" x14ac:dyDescent="0.3">
      <c r="C146" s="35"/>
    </row>
    <row r="147" spans="3:3" x14ac:dyDescent="0.3">
      <c r="C147" s="35"/>
    </row>
    <row r="148" spans="3:3" x14ac:dyDescent="0.3">
      <c r="C148" s="35"/>
    </row>
    <row r="149" spans="3:3" x14ac:dyDescent="0.3">
      <c r="C149" s="35"/>
    </row>
    <row r="150" spans="3:3" x14ac:dyDescent="0.3">
      <c r="C150" s="35"/>
    </row>
    <row r="151" spans="3:3" x14ac:dyDescent="0.3">
      <c r="C151" s="35"/>
    </row>
    <row r="152" spans="3:3" x14ac:dyDescent="0.3">
      <c r="C152" s="35"/>
    </row>
    <row r="153" spans="3:3" x14ac:dyDescent="0.3">
      <c r="C153" s="35"/>
    </row>
    <row r="154" spans="3:3" x14ac:dyDescent="0.3">
      <c r="C154" s="35"/>
    </row>
    <row r="155" spans="3:3" x14ac:dyDescent="0.3">
      <c r="C155" s="35"/>
    </row>
    <row r="156" spans="3:3" x14ac:dyDescent="0.3">
      <c r="C156" s="35"/>
    </row>
    <row r="157" spans="3:3" x14ac:dyDescent="0.3">
      <c r="C157" s="35"/>
    </row>
    <row r="158" spans="3:3" x14ac:dyDescent="0.3">
      <c r="C158" s="35"/>
    </row>
    <row r="159" spans="3:3" x14ac:dyDescent="0.3">
      <c r="C159" s="35"/>
    </row>
    <row r="160" spans="3:3" x14ac:dyDescent="0.3">
      <c r="C160" s="35"/>
    </row>
    <row r="161" spans="3:3" x14ac:dyDescent="0.3">
      <c r="C161" s="35"/>
    </row>
    <row r="162" spans="3:3" x14ac:dyDescent="0.3">
      <c r="C162" s="35"/>
    </row>
    <row r="163" spans="3:3" x14ac:dyDescent="0.3">
      <c r="C163" s="35"/>
    </row>
    <row r="164" spans="3:3" x14ac:dyDescent="0.3">
      <c r="C164" s="35"/>
    </row>
    <row r="165" spans="3:3" x14ac:dyDescent="0.3">
      <c r="C165" s="35"/>
    </row>
    <row r="166" spans="3:3" x14ac:dyDescent="0.3">
      <c r="C166" s="35"/>
    </row>
    <row r="167" spans="3:3" x14ac:dyDescent="0.3">
      <c r="C167" s="35"/>
    </row>
    <row r="168" spans="3:3" x14ac:dyDescent="0.3">
      <c r="C168" s="35"/>
    </row>
    <row r="169" spans="3:3" x14ac:dyDescent="0.3">
      <c r="C169" s="35"/>
    </row>
    <row r="170" spans="3:3" x14ac:dyDescent="0.3">
      <c r="C170" s="35"/>
    </row>
    <row r="171" spans="3:3" x14ac:dyDescent="0.3">
      <c r="C171" s="35"/>
    </row>
    <row r="172" spans="3:3" x14ac:dyDescent="0.3">
      <c r="C172" s="35"/>
    </row>
    <row r="173" spans="3:3" x14ac:dyDescent="0.3">
      <c r="C173" s="35"/>
    </row>
    <row r="174" spans="3:3" x14ac:dyDescent="0.3">
      <c r="C174" s="35"/>
    </row>
    <row r="175" spans="3:3" x14ac:dyDescent="0.3">
      <c r="C175" s="35"/>
    </row>
    <row r="176" spans="3:3" x14ac:dyDescent="0.3">
      <c r="C176" s="35"/>
    </row>
    <row r="177" spans="3:3" x14ac:dyDescent="0.3">
      <c r="C177" s="35"/>
    </row>
    <row r="178" spans="3:3" x14ac:dyDescent="0.3">
      <c r="C178" s="35"/>
    </row>
    <row r="179" spans="3:3" x14ac:dyDescent="0.3">
      <c r="C179" s="35"/>
    </row>
    <row r="180" spans="3:3" x14ac:dyDescent="0.3">
      <c r="C180" s="35"/>
    </row>
    <row r="181" spans="3:3" x14ac:dyDescent="0.3">
      <c r="C181" s="35"/>
    </row>
    <row r="182" spans="3:3" x14ac:dyDescent="0.3">
      <c r="C182" s="35"/>
    </row>
    <row r="183" spans="3:3" x14ac:dyDescent="0.3">
      <c r="C183" s="35"/>
    </row>
    <row r="184" spans="3:3" x14ac:dyDescent="0.3">
      <c r="C184" s="35"/>
    </row>
    <row r="185" spans="3:3" x14ac:dyDescent="0.3">
      <c r="C185" s="35"/>
    </row>
    <row r="186" spans="3:3" x14ac:dyDescent="0.3">
      <c r="C186" s="35"/>
    </row>
    <row r="187" spans="3:3" x14ac:dyDescent="0.3">
      <c r="C187" s="35"/>
    </row>
    <row r="188" spans="3:3" x14ac:dyDescent="0.3">
      <c r="C188" s="35"/>
    </row>
    <row r="189" spans="3:3" x14ac:dyDescent="0.3">
      <c r="C189" s="35"/>
    </row>
    <row r="190" spans="3:3" x14ac:dyDescent="0.3">
      <c r="C190" s="35"/>
    </row>
    <row r="191" spans="3:3" x14ac:dyDescent="0.3">
      <c r="C191" s="35"/>
    </row>
    <row r="192" spans="3:3" x14ac:dyDescent="0.3">
      <c r="C192" s="35"/>
    </row>
    <row r="193" spans="3:3" x14ac:dyDescent="0.3">
      <c r="C193" s="35"/>
    </row>
    <row r="194" spans="3:3" x14ac:dyDescent="0.3">
      <c r="C194" s="35"/>
    </row>
    <row r="195" spans="3:3" x14ac:dyDescent="0.3">
      <c r="C195" s="35"/>
    </row>
    <row r="196" spans="3:3" x14ac:dyDescent="0.3">
      <c r="C196" s="35"/>
    </row>
    <row r="197" spans="3:3" x14ac:dyDescent="0.3">
      <c r="C197" s="35"/>
    </row>
    <row r="198" spans="3:3" x14ac:dyDescent="0.3">
      <c r="C198" s="35"/>
    </row>
    <row r="199" spans="3:3" x14ac:dyDescent="0.3">
      <c r="C199" s="35"/>
    </row>
    <row r="200" spans="3:3" x14ac:dyDescent="0.3">
      <c r="C200" s="35"/>
    </row>
    <row r="201" spans="3:3" x14ac:dyDescent="0.3">
      <c r="C201" s="35"/>
    </row>
    <row r="202" spans="3:3" x14ac:dyDescent="0.3">
      <c r="C202" s="35"/>
    </row>
    <row r="203" spans="3:3" x14ac:dyDescent="0.3">
      <c r="C203" s="35"/>
    </row>
    <row r="204" spans="3:3" x14ac:dyDescent="0.3">
      <c r="C204" s="35"/>
    </row>
    <row r="205" spans="3:3" x14ac:dyDescent="0.3">
      <c r="C205" s="35"/>
    </row>
    <row r="206" spans="3:3" x14ac:dyDescent="0.3">
      <c r="C206" s="35"/>
    </row>
    <row r="207" spans="3:3" x14ac:dyDescent="0.3">
      <c r="C207" s="35"/>
    </row>
    <row r="208" spans="3:3" x14ac:dyDescent="0.3">
      <c r="C208" s="35"/>
    </row>
    <row r="209" spans="3:3" x14ac:dyDescent="0.3">
      <c r="C209" s="35"/>
    </row>
    <row r="210" spans="3:3" x14ac:dyDescent="0.3">
      <c r="C210" s="3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T7" sqref="T7:V7"/>
    </sheetView>
  </sheetViews>
  <sheetFormatPr defaultRowHeight="14.4" x14ac:dyDescent="0.3"/>
  <cols>
    <col min="1" max="1" width="12.77734375" customWidth="1"/>
    <col min="2" max="2" width="11.88671875" customWidth="1"/>
    <col min="5" max="5" width="11.6640625" customWidth="1"/>
    <col min="6" max="6" width="9.77734375" customWidth="1"/>
    <col min="7" max="7" width="14.21875" customWidth="1"/>
    <col min="8" max="8" width="17" customWidth="1"/>
    <col min="12" max="12" width="18.109375" customWidth="1"/>
    <col min="13" max="13" width="21.21875" customWidth="1"/>
    <col min="17" max="17" width="17.21875" customWidth="1"/>
  </cols>
  <sheetData>
    <row r="1" spans="1:22" ht="43.2" x14ac:dyDescent="0.3">
      <c r="A1" s="20" t="s">
        <v>55</v>
      </c>
      <c r="B1" s="20" t="s">
        <v>58</v>
      </c>
      <c r="C1" s="20" t="s">
        <v>56</v>
      </c>
      <c r="D1" s="20" t="s">
        <v>59</v>
      </c>
      <c r="E1" s="20" t="s">
        <v>57</v>
      </c>
      <c r="F1" s="20" t="s">
        <v>60</v>
      </c>
      <c r="G1" s="20" t="s">
        <v>53</v>
      </c>
      <c r="H1" s="20" t="s">
        <v>54</v>
      </c>
    </row>
    <row r="2" spans="1:22" x14ac:dyDescent="0.3">
      <c r="A2" s="47">
        <v>0.180386382366235</v>
      </c>
      <c r="B2" s="47">
        <v>158</v>
      </c>
      <c r="C2" s="47">
        <v>0.176731444916188</v>
      </c>
      <c r="D2" s="47">
        <v>155</v>
      </c>
      <c r="E2" s="47">
        <v>5.1887125290112697E-2</v>
      </c>
      <c r="F2" s="47">
        <v>46</v>
      </c>
      <c r="G2" s="50">
        <v>113.91</v>
      </c>
      <c r="H2" s="54">
        <v>166.122803</v>
      </c>
    </row>
    <row r="3" spans="1:22" x14ac:dyDescent="0.3">
      <c r="A3" s="7">
        <v>0.13800180359412001</v>
      </c>
      <c r="B3" s="7">
        <v>228</v>
      </c>
      <c r="C3" s="7">
        <v>0.13395114165863201</v>
      </c>
      <c r="D3" s="7">
        <v>222</v>
      </c>
      <c r="E3" s="7">
        <v>4.8828728309466603E-3</v>
      </c>
      <c r="F3" s="7">
        <v>8</v>
      </c>
      <c r="G3" s="53">
        <v>60.42</v>
      </c>
      <c r="H3" s="55">
        <v>90.959998999999996</v>
      </c>
    </row>
    <row r="4" spans="1:22" x14ac:dyDescent="0.3">
      <c r="A4" s="7">
        <v>7.4450646952847798E-3</v>
      </c>
      <c r="B4" s="7">
        <v>5</v>
      </c>
      <c r="C4" s="7">
        <v>7.4006876211573499E-3</v>
      </c>
      <c r="D4" s="7">
        <v>5</v>
      </c>
      <c r="E4" s="7">
        <v>3.6774228600784803E-2</v>
      </c>
      <c r="F4" s="7">
        <v>24</v>
      </c>
      <c r="G4" s="53">
        <v>152.09</v>
      </c>
      <c r="H4" s="55">
        <v>159.75593599999999</v>
      </c>
    </row>
    <row r="5" spans="1:22" x14ac:dyDescent="0.3">
      <c r="A5" s="7">
        <v>7.0094745545123793E-2</v>
      </c>
      <c r="B5" s="7">
        <v>240</v>
      </c>
      <c r="C5" s="7">
        <v>6.8550917147159607E-2</v>
      </c>
      <c r="D5" s="7">
        <v>235</v>
      </c>
      <c r="E5" s="7">
        <v>-2.7401004570771999E-2</v>
      </c>
      <c r="F5" s="7">
        <v>-94</v>
      </c>
      <c r="G5" s="53">
        <v>29.18</v>
      </c>
      <c r="H5" s="55">
        <v>34.040000999999997</v>
      </c>
    </row>
    <row r="6" spans="1:22" ht="34.200000000000003" customHeight="1" x14ac:dyDescent="0.3">
      <c r="A6" s="7">
        <v>-9.6463750216961106E-3</v>
      </c>
      <c r="B6" s="7">
        <v>-9</v>
      </c>
      <c r="C6" s="7">
        <v>-9.3703903767266492E-3</v>
      </c>
      <c r="D6" s="7">
        <v>-8</v>
      </c>
      <c r="E6" s="7">
        <v>6.2549413443302906E-2</v>
      </c>
      <c r="F6" s="7">
        <v>55</v>
      </c>
      <c r="G6" s="53">
        <v>113.2</v>
      </c>
      <c r="H6" s="55">
        <v>113.32910200000001</v>
      </c>
    </row>
    <row r="7" spans="1:22" ht="31.8" customHeight="1" x14ac:dyDescent="0.3">
      <c r="A7" s="7">
        <v>-0.168012975325779</v>
      </c>
      <c r="B7" s="7">
        <v>-546</v>
      </c>
      <c r="C7" s="7">
        <v>-0.164620692545908</v>
      </c>
      <c r="D7" s="7">
        <v>-535</v>
      </c>
      <c r="E7" s="7">
        <v>6.61019609107465E-3</v>
      </c>
      <c r="F7" s="7">
        <v>21</v>
      </c>
      <c r="G7" s="53">
        <v>30.78</v>
      </c>
      <c r="H7" s="55">
        <v>20.41</v>
      </c>
      <c r="P7" s="70" t="s">
        <v>65</v>
      </c>
      <c r="Q7" s="70"/>
      <c r="R7" s="70"/>
      <c r="T7" s="71" t="s">
        <v>72</v>
      </c>
      <c r="U7" s="72"/>
      <c r="V7" s="73"/>
    </row>
    <row r="8" spans="1:22" ht="30" customHeight="1" x14ac:dyDescent="0.3">
      <c r="A8" s="7">
        <v>-6.9112853896689998E-3</v>
      </c>
      <c r="B8" s="7">
        <v>-5</v>
      </c>
      <c r="C8" s="7">
        <v>-6.7473066100228298E-3</v>
      </c>
      <c r="D8" s="7">
        <v>-4</v>
      </c>
      <c r="E8" s="7">
        <v>1.1741207385253701E-2</v>
      </c>
      <c r="F8" s="7">
        <v>8</v>
      </c>
      <c r="G8" s="53">
        <v>150.79</v>
      </c>
      <c r="H8" s="55">
        <v>152.83239699999999</v>
      </c>
      <c r="P8" s="61" t="s">
        <v>74</v>
      </c>
      <c r="Q8" s="59" t="s">
        <v>66</v>
      </c>
      <c r="R8" s="59" t="s">
        <v>67</v>
      </c>
      <c r="T8" s="40" t="s">
        <v>74</v>
      </c>
      <c r="U8" s="59" t="s">
        <v>66</v>
      </c>
      <c r="V8" s="61" t="s">
        <v>73</v>
      </c>
    </row>
    <row r="9" spans="1:22" ht="30" customHeight="1" x14ac:dyDescent="0.3">
      <c r="A9" s="7"/>
      <c r="B9" s="7"/>
      <c r="C9" s="7"/>
      <c r="D9" s="7"/>
      <c r="E9" s="7"/>
      <c r="F9" s="7"/>
      <c r="G9" s="53"/>
      <c r="H9" s="55"/>
      <c r="P9" s="14" t="s">
        <v>71</v>
      </c>
      <c r="Q9" s="60">
        <v>5.96E-2</v>
      </c>
      <c r="R9" s="60">
        <v>0.21609999999999999</v>
      </c>
      <c r="T9" s="14" t="s">
        <v>71</v>
      </c>
      <c r="U9" s="15">
        <v>0.12870000000000001</v>
      </c>
      <c r="V9" s="15">
        <v>0.90349999999999997</v>
      </c>
    </row>
    <row r="10" spans="1:22" x14ac:dyDescent="0.3">
      <c r="A10" s="7">
        <v>0.138943353691826</v>
      </c>
      <c r="B10" s="7">
        <v>124</v>
      </c>
      <c r="C10" s="7">
        <v>0.13572724011348</v>
      </c>
      <c r="D10" s="7">
        <v>121</v>
      </c>
      <c r="E10" s="7">
        <v>7.1514933988840207E-2</v>
      </c>
      <c r="F10" s="7">
        <v>64</v>
      </c>
      <c r="G10" s="53">
        <v>112.29</v>
      </c>
      <c r="H10" s="55">
        <v>139.14788799999999</v>
      </c>
      <c r="P10" s="14" t="s">
        <v>68</v>
      </c>
      <c r="Q10" s="15">
        <v>5.96E-2</v>
      </c>
      <c r="R10" s="15">
        <v>0.21779999999999999</v>
      </c>
      <c r="T10" s="14" t="s">
        <v>68</v>
      </c>
      <c r="U10" s="15">
        <v>0.1104</v>
      </c>
      <c r="V10" s="15">
        <v>0.77280000000000004</v>
      </c>
    </row>
    <row r="11" spans="1:22" ht="29.4" customHeight="1" x14ac:dyDescent="0.3">
      <c r="A11" s="7">
        <v>0.158259915314449</v>
      </c>
      <c r="B11" s="7">
        <v>188</v>
      </c>
      <c r="C11" s="7">
        <v>0.169288035599956</v>
      </c>
      <c r="D11" s="7">
        <v>201</v>
      </c>
      <c r="E11" s="7">
        <v>4.7060583083654304E-3</v>
      </c>
      <c r="F11" s="7">
        <v>6</v>
      </c>
      <c r="G11" s="53">
        <v>84.36</v>
      </c>
      <c r="H11" s="55">
        <v>101.410004</v>
      </c>
      <c r="L11" s="45" t="s">
        <v>62</v>
      </c>
      <c r="M11" s="45" t="s">
        <v>61</v>
      </c>
      <c r="P11" s="14" t="s">
        <v>69</v>
      </c>
      <c r="Q11" s="15">
        <v>5.57E-2</v>
      </c>
      <c r="R11" s="15">
        <v>0.20349999999999999</v>
      </c>
      <c r="T11" s="14" t="s">
        <v>69</v>
      </c>
      <c r="U11" s="15">
        <v>0.1173</v>
      </c>
      <c r="V11" s="15">
        <v>0.77749999999999997</v>
      </c>
    </row>
    <row r="12" spans="1:22" x14ac:dyDescent="0.3">
      <c r="A12" s="7">
        <v>0.13352296637434499</v>
      </c>
      <c r="B12" s="7">
        <v>333</v>
      </c>
      <c r="C12" s="7">
        <v>0.133416974829598</v>
      </c>
      <c r="D12" s="7">
        <v>333</v>
      </c>
      <c r="E12" s="7">
        <v>0.25756702524479103</v>
      </c>
      <c r="F12" s="7">
        <v>642</v>
      </c>
      <c r="G12" s="53">
        <v>40.11</v>
      </c>
      <c r="H12" s="55">
        <v>45.860000999999997</v>
      </c>
      <c r="L12" s="14" t="s">
        <v>63</v>
      </c>
      <c r="M12" s="46">
        <v>149930.72826199999</v>
      </c>
      <c r="P12" s="14" t="s">
        <v>70</v>
      </c>
      <c r="Q12" s="15">
        <v>5.6300000000000003E-2</v>
      </c>
      <c r="R12" s="15">
        <v>0.19400000000000001</v>
      </c>
      <c r="T12" s="14" t="s">
        <v>70</v>
      </c>
      <c r="U12" s="15">
        <v>0.1245</v>
      </c>
      <c r="V12" s="15">
        <v>0.84409999999999996</v>
      </c>
    </row>
    <row r="13" spans="1:22" x14ac:dyDescent="0.3">
      <c r="A13" s="7">
        <v>0.188952240827678</v>
      </c>
      <c r="B13" s="7">
        <v>159</v>
      </c>
      <c r="C13" s="7">
        <v>0.18579193988913301</v>
      </c>
      <c r="D13" s="7">
        <v>157</v>
      </c>
      <c r="E13" s="7">
        <v>9.5235110532095796E-2</v>
      </c>
      <c r="F13" s="7">
        <v>80</v>
      </c>
      <c r="G13" s="53">
        <v>118.66</v>
      </c>
      <c r="H13" s="55">
        <v>166.229996</v>
      </c>
      <c r="L13" s="14" t="s">
        <v>64</v>
      </c>
      <c r="M13" s="58">
        <v>149821.42944000001</v>
      </c>
    </row>
    <row r="14" spans="1:22" x14ac:dyDescent="0.3">
      <c r="A14" s="7">
        <v>0.23099901360935701</v>
      </c>
      <c r="B14" s="7">
        <v>380</v>
      </c>
      <c r="C14" s="7">
        <v>0.23043366656547801</v>
      </c>
      <c r="D14" s="7">
        <v>379</v>
      </c>
      <c r="E14" s="7">
        <v>6.8156614867354096E-2</v>
      </c>
      <c r="F14" s="7">
        <v>112</v>
      </c>
      <c r="G14" s="53">
        <v>60.78</v>
      </c>
      <c r="H14" s="55">
        <v>83.470802000000006</v>
      </c>
      <c r="L14" s="14" t="s">
        <v>52</v>
      </c>
      <c r="M14" s="14">
        <v>115948.90288799998</v>
      </c>
    </row>
    <row r="15" spans="1:22" x14ac:dyDescent="0.3">
      <c r="A15" s="7">
        <v>5.7250855047397298E-2</v>
      </c>
      <c r="B15" s="7">
        <v>56</v>
      </c>
      <c r="C15" s="7">
        <v>5.60038096161058E-2</v>
      </c>
      <c r="D15" s="7">
        <v>55</v>
      </c>
      <c r="E15" s="7">
        <v>5.13850008714688E-2</v>
      </c>
      <c r="F15" s="7">
        <v>50</v>
      </c>
      <c r="G15" s="53">
        <v>101.78</v>
      </c>
      <c r="H15" s="55">
        <v>109.650002</v>
      </c>
    </row>
    <row r="16" spans="1:22" x14ac:dyDescent="0.3">
      <c r="A16" s="7">
        <v>6.1419666103053203E-2</v>
      </c>
      <c r="B16" s="7">
        <v>197</v>
      </c>
      <c r="C16" s="7">
        <v>5.9907815388138302E-2</v>
      </c>
      <c r="D16" s="7">
        <v>192</v>
      </c>
      <c r="E16" s="7">
        <v>0.148549952294211</v>
      </c>
      <c r="F16" s="7">
        <v>475</v>
      </c>
      <c r="G16" s="53">
        <v>31.25</v>
      </c>
      <c r="H16" s="55">
        <v>34.831721999999999</v>
      </c>
    </row>
    <row r="17" spans="1:8" x14ac:dyDescent="0.3">
      <c r="A17" s="7">
        <v>2.26352798350846E-2</v>
      </c>
      <c r="B17" s="7">
        <v>28</v>
      </c>
      <c r="C17" s="7">
        <v>2.21216820402131E-2</v>
      </c>
      <c r="D17" s="7">
        <v>27</v>
      </c>
      <c r="E17" s="7">
        <v>5.9100892898107799E-2</v>
      </c>
      <c r="F17" s="7">
        <v>72</v>
      </c>
      <c r="G17" s="53">
        <v>81.53</v>
      </c>
      <c r="H17" s="55">
        <v>86.269997000000004</v>
      </c>
    </row>
    <row r="18" spans="1:8" x14ac:dyDescent="0.3">
      <c r="A18" s="7">
        <v>-1.06963207911811E-2</v>
      </c>
      <c r="B18" s="7">
        <v>-20</v>
      </c>
      <c r="C18" s="7">
        <v>-1.0480206748576901E-2</v>
      </c>
      <c r="D18" s="7">
        <v>-19</v>
      </c>
      <c r="E18" s="7">
        <v>2.05062329922285E-2</v>
      </c>
      <c r="F18" s="7">
        <v>38</v>
      </c>
      <c r="G18" s="53">
        <v>54.51</v>
      </c>
      <c r="H18" s="55">
        <v>54.879272</v>
      </c>
    </row>
    <row r="19" spans="1:8" x14ac:dyDescent="0.3">
      <c r="A19" s="7">
        <v>-8.9564746055143002E-2</v>
      </c>
      <c r="B19" s="7">
        <v>-221</v>
      </c>
      <c r="C19" s="7">
        <v>-8.8098415728777094E-2</v>
      </c>
      <c r="D19" s="7">
        <v>-218</v>
      </c>
      <c r="E19" s="7">
        <v>1.22611267793969E-2</v>
      </c>
      <c r="F19" s="7">
        <v>30</v>
      </c>
      <c r="G19" s="53">
        <v>40.5</v>
      </c>
      <c r="H19" s="55">
        <v>33.540000999999997</v>
      </c>
    </row>
    <row r="20" spans="1:8" x14ac:dyDescent="0.3">
      <c r="A20" s="7">
        <v>-3.7491182669158102E-2</v>
      </c>
      <c r="B20" s="7">
        <v>-74</v>
      </c>
      <c r="C20" s="7">
        <v>-3.6513619987337202E-2</v>
      </c>
      <c r="D20" s="7">
        <v>-72</v>
      </c>
      <c r="E20" s="7">
        <v>1.18719093172418E-2</v>
      </c>
      <c r="F20" s="7">
        <v>23</v>
      </c>
      <c r="G20" s="53">
        <v>50.91</v>
      </c>
      <c r="H20" s="55">
        <v>47.830002</v>
      </c>
    </row>
    <row r="21" spans="1:8" x14ac:dyDescent="0.3">
      <c r="A21" s="7">
        <v>6.5984765939652804E-3</v>
      </c>
      <c r="B21" s="7">
        <v>12</v>
      </c>
      <c r="C21" s="7">
        <v>6.4014309944006803E-3</v>
      </c>
      <c r="D21" s="7">
        <v>12</v>
      </c>
      <c r="E21" s="7">
        <v>1.0347322805179001E-2</v>
      </c>
      <c r="F21" s="7">
        <v>19</v>
      </c>
      <c r="G21" s="53">
        <v>53.59</v>
      </c>
      <c r="H21" s="55">
        <v>55.462494</v>
      </c>
    </row>
    <row r="22" spans="1:8" x14ac:dyDescent="0.3">
      <c r="A22" s="48">
        <v>-7.2186878345291902E-2</v>
      </c>
      <c r="B22" s="48">
        <v>-83</v>
      </c>
      <c r="C22" s="48">
        <v>-6.9896154382291395E-2</v>
      </c>
      <c r="D22" s="48">
        <v>-80</v>
      </c>
      <c r="E22" s="48">
        <v>4.17537800300165E-2</v>
      </c>
      <c r="F22" s="48">
        <v>48</v>
      </c>
      <c r="G22" s="51">
        <v>86.95</v>
      </c>
      <c r="H22" s="57">
        <v>82.773940999999994</v>
      </c>
    </row>
    <row r="23" spans="1:8" x14ac:dyDescent="0.3">
      <c r="A23" s="49"/>
      <c r="B23" s="49"/>
      <c r="C23" s="49"/>
      <c r="D23" s="49"/>
      <c r="E23" s="28"/>
      <c r="F23" s="28"/>
      <c r="G23" s="49"/>
      <c r="H23" s="52"/>
    </row>
  </sheetData>
  <mergeCells count="2">
    <mergeCell ref="P7:R7"/>
    <mergeCell ref="T7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Portfolio Values Markowitz</vt:lpstr>
      <vt:lpstr>Selected Models-FactorModels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Shahani</dc:creator>
  <cp:lastModifiedBy>Sahil Shahani</cp:lastModifiedBy>
  <dcterms:created xsi:type="dcterms:W3CDTF">2017-12-11T03:46:44Z</dcterms:created>
  <dcterms:modified xsi:type="dcterms:W3CDTF">2017-12-30T17:45:18Z</dcterms:modified>
</cp:coreProperties>
</file>