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tev\Downloads\"/>
    </mc:Choice>
  </mc:AlternateContent>
  <xr:revisionPtr revIDLastSave="0" documentId="13_ncr:1_{0BCC463E-1DCB-4D93-A787-71F7BE68E1CD}" xr6:coauthVersionLast="47" xr6:coauthVersionMax="47" xr10:uidLastSave="{00000000-0000-0000-0000-000000000000}"/>
  <bookViews>
    <workbookView xWindow="-108" yWindow="-108" windowWidth="23256" windowHeight="12456" firstSheet="1" activeTab="1" xr2:uid="{9CB0385B-9E6F-48FD-92FC-6E86D920B3F9}"/>
  </bookViews>
  <sheets>
    <sheet name="Product A" sheetId="2" state="hidden" r:id="rId1"/>
    <sheet name="Product A+B" sheetId="3" r:id="rId2"/>
    <sheet name="Assumptions" sheetId="1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" i="3" l="1"/>
  <c r="E57" i="3" s="1"/>
  <c r="F57" i="3" s="1"/>
  <c r="D54" i="3"/>
  <c r="E54" i="3" s="1"/>
  <c r="C34" i="3"/>
  <c r="C18" i="3"/>
  <c r="C40" i="3"/>
  <c r="D39" i="3"/>
  <c r="E36" i="3"/>
  <c r="F36" i="3" s="1"/>
  <c r="E18" i="3"/>
  <c r="F18" i="3" s="1"/>
  <c r="G18" i="3" s="1"/>
  <c r="H18" i="3" s="1"/>
  <c r="E13" i="3"/>
  <c r="F13" i="3"/>
  <c r="G13" i="3"/>
  <c r="H13" i="3"/>
  <c r="D13" i="3"/>
  <c r="C12" i="3"/>
  <c r="D11" i="3"/>
  <c r="E11" i="3" s="1"/>
  <c r="F11" i="3" s="1"/>
  <c r="G11" i="3" s="1"/>
  <c r="H11" i="3" s="1"/>
  <c r="H7" i="3"/>
  <c r="G7" i="3"/>
  <c r="F7" i="3"/>
  <c r="E7" i="3"/>
  <c r="D7" i="3"/>
  <c r="C7" i="3"/>
  <c r="C9" i="3" s="1"/>
  <c r="C16" i="3" s="1"/>
  <c r="D22" i="2"/>
  <c r="D19" i="2"/>
  <c r="D5" i="2"/>
  <c r="D11" i="2" s="1"/>
  <c r="E5" i="2"/>
  <c r="E11" i="2" s="1"/>
  <c r="F5" i="2"/>
  <c r="F11" i="2" s="1"/>
  <c r="G5" i="2"/>
  <c r="G11" i="2" s="1"/>
  <c r="H5" i="2"/>
  <c r="H11" i="2" s="1"/>
  <c r="C5" i="2"/>
  <c r="C11" i="2" s="1"/>
  <c r="D8" i="2"/>
  <c r="E8" i="2" s="1"/>
  <c r="F8" i="2" s="1"/>
  <c r="G8" i="2" s="1"/>
  <c r="H8" i="2" s="1"/>
  <c r="C46" i="3" l="1"/>
  <c r="C52" i="3" s="1"/>
  <c r="F54" i="3"/>
  <c r="G57" i="3"/>
  <c r="C48" i="3"/>
  <c r="G36" i="3"/>
  <c r="E39" i="3"/>
  <c r="D8" i="3"/>
  <c r="D9" i="3" s="1"/>
  <c r="D46" i="3" s="1"/>
  <c r="D52" i="3" s="1"/>
  <c r="G17" i="2"/>
  <c r="D17" i="2"/>
  <c r="C13" i="2"/>
  <c r="E17" i="2"/>
  <c r="E22" i="2"/>
  <c r="F17" i="2"/>
  <c r="F13" i="2"/>
  <c r="F26" i="2" s="1"/>
  <c r="C17" i="2"/>
  <c r="H17" i="2"/>
  <c r="H13" i="2"/>
  <c r="D13" i="2"/>
  <c r="E19" i="2"/>
  <c r="D48" i="3" l="1"/>
  <c r="D66" i="3"/>
  <c r="D74" i="3" s="1"/>
  <c r="D58" i="3"/>
  <c r="D61" i="3"/>
  <c r="D55" i="3"/>
  <c r="C58" i="3"/>
  <c r="C61" i="3"/>
  <c r="C55" i="3"/>
  <c r="C64" i="3" s="1"/>
  <c r="H57" i="3"/>
  <c r="G54" i="3"/>
  <c r="D33" i="2"/>
  <c r="H36" i="3"/>
  <c r="F39" i="3"/>
  <c r="D12" i="3"/>
  <c r="D15" i="3" s="1"/>
  <c r="D22" i="3" s="1"/>
  <c r="E8" i="3"/>
  <c r="E12" i="3" s="1"/>
  <c r="E15" i="3" s="1"/>
  <c r="E22" i="3" s="1"/>
  <c r="D21" i="2"/>
  <c r="E13" i="2"/>
  <c r="E33" i="2" s="1"/>
  <c r="G13" i="2"/>
  <c r="G33" i="2" s="1"/>
  <c r="H26" i="2"/>
  <c r="D26" i="2"/>
  <c r="C20" i="2"/>
  <c r="C26" i="2"/>
  <c r="C23" i="2"/>
  <c r="D23" i="2"/>
  <c r="F22" i="2"/>
  <c r="F19" i="2"/>
  <c r="E9" i="3" l="1"/>
  <c r="E16" i="3" s="1"/>
  <c r="D64" i="3"/>
  <c r="D65" i="3" s="1"/>
  <c r="C72" i="3"/>
  <c r="C65" i="3"/>
  <c r="C33" i="2"/>
  <c r="C66" i="3" s="1"/>
  <c r="C74" i="3" s="1"/>
  <c r="H54" i="3"/>
  <c r="F8" i="3"/>
  <c r="G8" i="3" s="1"/>
  <c r="D30" i="2"/>
  <c r="D16" i="3"/>
  <c r="D34" i="3"/>
  <c r="D31" i="3"/>
  <c r="E34" i="3"/>
  <c r="E31" i="3"/>
  <c r="G39" i="3"/>
  <c r="E27" i="3"/>
  <c r="E24" i="3"/>
  <c r="D27" i="3"/>
  <c r="D24" i="3"/>
  <c r="H33" i="2"/>
  <c r="F33" i="2"/>
  <c r="C30" i="2"/>
  <c r="E23" i="2"/>
  <c r="G26" i="2"/>
  <c r="E20" i="2"/>
  <c r="E26" i="2"/>
  <c r="G22" i="2"/>
  <c r="F23" i="2"/>
  <c r="G19" i="2"/>
  <c r="F20" i="2"/>
  <c r="F30" i="2" s="1"/>
  <c r="E46" i="3" l="1"/>
  <c r="F12" i="3"/>
  <c r="F15" i="3" s="1"/>
  <c r="F22" i="3" s="1"/>
  <c r="F9" i="3"/>
  <c r="F46" i="3" s="1"/>
  <c r="D43" i="3"/>
  <c r="E43" i="3"/>
  <c r="E52" i="3"/>
  <c r="E48" i="3"/>
  <c r="C73" i="3"/>
  <c r="C77" i="3" s="1"/>
  <c r="E70" i="3"/>
  <c r="F32" i="2"/>
  <c r="D32" i="2"/>
  <c r="C32" i="2"/>
  <c r="F34" i="3"/>
  <c r="F31" i="3"/>
  <c r="D37" i="3"/>
  <c r="D40" i="3"/>
  <c r="E37" i="3"/>
  <c r="E40" i="3"/>
  <c r="H39" i="3"/>
  <c r="F27" i="3"/>
  <c r="F24" i="3"/>
  <c r="H8" i="3"/>
  <c r="G9" i="3"/>
  <c r="G46" i="3" s="1"/>
  <c r="G12" i="3"/>
  <c r="G15" i="3" s="1"/>
  <c r="G22" i="3" s="1"/>
  <c r="E30" i="2"/>
  <c r="H22" i="2"/>
  <c r="H23" i="2" s="1"/>
  <c r="G23" i="2"/>
  <c r="H19" i="2"/>
  <c r="H20" i="2" s="1"/>
  <c r="G20" i="2"/>
  <c r="G30" i="2" s="1"/>
  <c r="F16" i="3" l="1"/>
  <c r="E68" i="3"/>
  <c r="E69" i="3" s="1"/>
  <c r="E55" i="3"/>
  <c r="E58" i="3"/>
  <c r="E61" i="3"/>
  <c r="E64" i="3" s="1"/>
  <c r="E65" i="3" s="1"/>
  <c r="E66" i="3"/>
  <c r="G52" i="3"/>
  <c r="G48" i="3"/>
  <c r="F43" i="3"/>
  <c r="E74" i="3"/>
  <c r="F52" i="3"/>
  <c r="F48" i="3"/>
  <c r="F70" i="3"/>
  <c r="G32" i="2"/>
  <c r="E32" i="2"/>
  <c r="H30" i="2"/>
  <c r="D37" i="2"/>
  <c r="F37" i="2"/>
  <c r="C37" i="2"/>
  <c r="G16" i="3"/>
  <c r="D68" i="3"/>
  <c r="G31" i="3"/>
  <c r="G34" i="3"/>
  <c r="F37" i="3"/>
  <c r="F40" i="3"/>
  <c r="G24" i="3"/>
  <c r="G27" i="3"/>
  <c r="H9" i="3"/>
  <c r="H46" i="3" s="1"/>
  <c r="H12" i="3"/>
  <c r="H15" i="3" s="1"/>
  <c r="H22" i="3" s="1"/>
  <c r="G43" i="3" l="1"/>
  <c r="F58" i="3"/>
  <c r="F61" i="3"/>
  <c r="F55" i="3"/>
  <c r="F64" i="3" s="1"/>
  <c r="F65" i="3" s="1"/>
  <c r="F66" i="3"/>
  <c r="H52" i="3"/>
  <c r="H48" i="3"/>
  <c r="G61" i="3"/>
  <c r="G58" i="3"/>
  <c r="G66" i="3"/>
  <c r="G55" i="3"/>
  <c r="G74" i="3"/>
  <c r="F74" i="3"/>
  <c r="E72" i="3"/>
  <c r="E73" i="3" s="1"/>
  <c r="E77" i="3" s="1"/>
  <c r="D69" i="3"/>
  <c r="D72" i="3"/>
  <c r="G70" i="3"/>
  <c r="F68" i="3"/>
  <c r="H32" i="2"/>
  <c r="E37" i="2"/>
  <c r="G37" i="2"/>
  <c r="F69" i="3"/>
  <c r="H16" i="3"/>
  <c r="H34" i="3"/>
  <c r="H31" i="3"/>
  <c r="G37" i="3"/>
  <c r="G40" i="3"/>
  <c r="H27" i="3"/>
  <c r="H24" i="3"/>
  <c r="H74" i="3" l="1"/>
  <c r="G64" i="3"/>
  <c r="G65" i="3" s="1"/>
  <c r="H61" i="3"/>
  <c r="H66" i="3"/>
  <c r="H58" i="3"/>
  <c r="H55" i="3"/>
  <c r="H64" i="3" s="1"/>
  <c r="H65" i="3" s="1"/>
  <c r="H43" i="3"/>
  <c r="G68" i="3"/>
  <c r="G72" i="3" s="1"/>
  <c r="G73" i="3" s="1"/>
  <c r="G77" i="3" s="1"/>
  <c r="F72" i="3"/>
  <c r="F73" i="3" s="1"/>
  <c r="F77" i="3" s="1"/>
  <c r="D73" i="3"/>
  <c r="D77" i="3" s="1"/>
  <c r="H70" i="3"/>
  <c r="H37" i="2"/>
  <c r="G69" i="3"/>
  <c r="H37" i="3"/>
  <c r="H40" i="3"/>
  <c r="H68" i="3" s="1"/>
  <c r="H72" i="3" s="1"/>
  <c r="H73" i="3" s="1"/>
  <c r="H77" i="3" s="1"/>
  <c r="H69" i="3" l="1"/>
</calcChain>
</file>

<file path=xl/sharedStrings.xml><?xml version="1.0" encoding="utf-8"?>
<sst xmlns="http://schemas.openxmlformats.org/spreadsheetml/2006/main" count="168" uniqueCount="93">
  <si>
    <t>Product A:</t>
  </si>
  <si>
    <t>Annual actives</t>
  </si>
  <si>
    <t>Product B:</t>
  </si>
  <si>
    <t>Retention of new &amp; cannibalized actives:</t>
  </si>
  <si>
    <t>Year:</t>
  </si>
  <si>
    <t>Retention rate:</t>
  </si>
  <si>
    <t>Formulas:</t>
  </si>
  <si>
    <t>Gross purchase volume ("GPV") = Actives x transactions / active x average transaction size ("ATS")</t>
  </si>
  <si>
    <t xml:space="preserve">Annual Transaction Size </t>
  </si>
  <si>
    <t>Source</t>
  </si>
  <si>
    <t>Assumptions Tab</t>
  </si>
  <si>
    <t>Case Assumption</t>
  </si>
  <si>
    <t>Annual Transactions</t>
  </si>
  <si>
    <t>Case Assumption, no YoY Growth</t>
  </si>
  <si>
    <t>Gross Interchange (Rate)</t>
  </si>
  <si>
    <t xml:space="preserve">Calculation </t>
  </si>
  <si>
    <t>Processing Fees (Rate)</t>
  </si>
  <si>
    <t>Calculation</t>
  </si>
  <si>
    <t>Case Assumption, 2% Growth</t>
  </si>
  <si>
    <t>Case Assumption, 5% Percentage Point Decrease YoY</t>
  </si>
  <si>
    <t>Sales &amp; Marketing (Rate)</t>
  </si>
  <si>
    <t>Costs</t>
  </si>
  <si>
    <t xml:space="preserve">Revenue </t>
  </si>
  <si>
    <t>Case Assumption, 1% Percentage Point Decrease YoY</t>
  </si>
  <si>
    <t>General &amp; Administrative (Rate)</t>
  </si>
  <si>
    <t>Other Costs (Rate)</t>
  </si>
  <si>
    <t>Operating Margins</t>
  </si>
  <si>
    <t>Calculation, Revenue per Transaction - Cost per Transaction</t>
  </si>
  <si>
    <t>Revenue Growth</t>
  </si>
  <si>
    <t>Sales &amp; Marketing (Cost of Revenue, COR)</t>
  </si>
  <si>
    <t>General &amp; Administrative (COR)</t>
  </si>
  <si>
    <t>Other Costs (COR)</t>
  </si>
  <si>
    <t>Processing Fees (Cost of Goods Sold, COGS)</t>
  </si>
  <si>
    <t>Operating Income</t>
  </si>
  <si>
    <t>Calculation, Operating Income /  Revenue</t>
  </si>
  <si>
    <t>Rule of 40</t>
  </si>
  <si>
    <t xml:space="preserve">No year passes the Rule of 40 </t>
  </si>
  <si>
    <t>Revenue Growth + Operating Margins</t>
  </si>
  <si>
    <t>Product A + B:</t>
  </si>
  <si>
    <t>Annual actives (Product A)</t>
  </si>
  <si>
    <t xml:space="preserve">Product B Cannabilization </t>
  </si>
  <si>
    <t>Additional Information</t>
  </si>
  <si>
    <t>New Annual actives (Product B)</t>
  </si>
  <si>
    <t xml:space="preserve">Annual Actives (Product A Net Cannibalization) </t>
  </si>
  <si>
    <t>Case Assumption, Steady 1 Million New Users</t>
  </si>
  <si>
    <t>Yearly Retention Rates</t>
  </si>
  <si>
    <t>Gross Annual actives (Product B + Product A Cannibilized)</t>
  </si>
  <si>
    <t>Actual Annual Actives (Product B, Gross Annual Actives * Retention)</t>
  </si>
  <si>
    <t>Usage</t>
  </si>
  <si>
    <t>Average Yearly Transaction</t>
  </si>
  <si>
    <t xml:space="preserve">Assumption </t>
  </si>
  <si>
    <t>Assumption based on Annual Yearly Transaction is same for all users of product</t>
  </si>
  <si>
    <t>Additional Interest Revenue (Rate)</t>
  </si>
  <si>
    <t>Additional Interest Revenue (Revenue)</t>
  </si>
  <si>
    <t>Lost Rates (Rate)</t>
  </si>
  <si>
    <t>Lost Rates (COGS)</t>
  </si>
  <si>
    <t>Case Assumption, Costs Halved</t>
  </si>
  <si>
    <t>Operating Income (Product B)</t>
  </si>
  <si>
    <t>Annual Transaction Size (Product B)</t>
  </si>
  <si>
    <t>Assume ATV to be the same across all products, for simplicity sake. Applied a 2% Trend continuation for 2025</t>
  </si>
  <si>
    <t>Operating Margins (Product A)</t>
  </si>
  <si>
    <t>Operating Margins (Product B)</t>
  </si>
  <si>
    <t>Gross Purchase Volume (In Billions)</t>
  </si>
  <si>
    <t>Interchange works by taking a % of transactions. So to calculate revenue, we need to take a % of the total payment flow processed (i.e., Gross Purchase Volume)</t>
  </si>
  <si>
    <t>Same assumption of GPV as before</t>
  </si>
  <si>
    <t>Gross Interchange (Revenue, In Billions)</t>
  </si>
  <si>
    <t>Revenue Growth (Product B)</t>
  </si>
  <si>
    <t>Cannot calculate Growth from 0, so will make it 0 to avoid error</t>
  </si>
  <si>
    <t>Revenue (Product B)</t>
  </si>
  <si>
    <t>Costs (Product B)</t>
  </si>
  <si>
    <t xml:space="preserve">Operating Margin </t>
  </si>
  <si>
    <t>Gross Interchange (Revenue, in Billions)</t>
  </si>
  <si>
    <t>Operating Income, after cannibilization, and R&amp;D Costs (Product A)</t>
  </si>
  <si>
    <t>Calculation, Assumption</t>
  </si>
  <si>
    <t>Scaled down product A's income by the decrease of active users</t>
  </si>
  <si>
    <t>No Data on 2023 Revenue, as such, followed the trend line to map growth of revenue from 2023-2024 which was about 5% Growth</t>
  </si>
  <si>
    <t>Revenue Growth (Product A)</t>
  </si>
  <si>
    <t>Revenue (Product A)</t>
  </si>
  <si>
    <t>Costs (Product A)</t>
  </si>
  <si>
    <t>Processing Fees (COGS, in Billions)</t>
  </si>
  <si>
    <t>Sales &amp; Marketing (Cost of Revenue, COR, in Billions)</t>
  </si>
  <si>
    <t>Assumes 2023-2024 Growth is the same as previous</t>
  </si>
  <si>
    <t xml:space="preserve">Revenue Growth + Operating Margins (Total) </t>
  </si>
  <si>
    <t>Operating Income (Total)</t>
  </si>
  <si>
    <t>Operating Margins (Total)</t>
  </si>
  <si>
    <t>Revenue Growth (Total)</t>
  </si>
  <si>
    <t>Assumes 2023-2024 Growth is the same as previous, 2025 / 2026 growth remains just product A to avoid div/0 error</t>
  </si>
  <si>
    <t>There's I believe an error with the Gross Purchase Volume formula. If we multiply and divide actives, they just cancel out esstentially stating the total payment flow is Annual Transactions * Annual Transaction Size. I am carrying on with the GPV Calculation by including actives.</t>
  </si>
  <si>
    <t>Total Actual Annual Actives (Product A + B)</t>
  </si>
  <si>
    <t>Assumption, Revenue in this case I used just Gross interchange, Sales &amp; Marketing will not have an affect on additional interest revenue. I'd imagine commercials promoting credit card rolling to be a risk for controversy</t>
  </si>
  <si>
    <t>Assumption, included both revenue as other costs could affect interest revenue and interchange respectively</t>
  </si>
  <si>
    <t>Assumes that Product A will have the same ATV and Yearly Transactions as previous to the product introduction</t>
  </si>
  <si>
    <r>
      <rPr>
        <b/>
        <sz val="12"/>
        <color theme="1"/>
        <rFont val="Arial"/>
        <family val="2"/>
      </rPr>
      <t xml:space="preserve">Please Read: </t>
    </r>
    <r>
      <rPr>
        <sz val="12"/>
        <color theme="1"/>
        <rFont val="Arial"/>
        <family val="2"/>
      </rPr>
      <t>The following is an analysis I performed for a payments case. The excel model is provided to showcase my ability to structure an FP&amp;A model for the role.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</si>
</sst>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3" fontId="2" fillId="0" borderId="0" xfId="0" applyNumberFormat="1" applyFont="1"/>
    <xf numFmtId="10" fontId="2" fillId="0" borderId="0" xfId="0" applyNumberFormat="1" applyFont="1"/>
    <xf numFmtId="44" fontId="2" fillId="0" borderId="0" xfId="1" applyFont="1"/>
    <xf numFmtId="4" fontId="2" fillId="0" borderId="0" xfId="0" applyNumberFormat="1" applyFont="1"/>
    <xf numFmtId="9" fontId="2" fillId="0" borderId="0" xfId="2" applyFont="1"/>
    <xf numFmtId="44" fontId="0" fillId="0" borderId="0" xfId="0" applyNumberFormat="1"/>
    <xf numFmtId="0" fontId="1" fillId="0" borderId="1" xfId="0" applyFont="1" applyBorder="1"/>
    <xf numFmtId="0" fontId="0" fillId="0" borderId="0" xfId="0" applyAlignment="1">
      <alignment wrapText="1"/>
    </xf>
    <xf numFmtId="164" fontId="2" fillId="0" borderId="0" xfId="2" applyNumberFormat="1" applyFont="1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 indent="1"/>
    </xf>
    <xf numFmtId="0" fontId="1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Alignment="1">
      <alignment horizontal="left"/>
    </xf>
    <xf numFmtId="2" fontId="2" fillId="0" borderId="0" xfId="2" applyNumberFormat="1" applyFont="1"/>
    <xf numFmtId="0" fontId="0" fillId="0" borderId="0" xfId="0" applyAlignment="1">
      <alignment horizontal="left" wrapText="1"/>
    </xf>
    <xf numFmtId="0" fontId="4" fillId="0" borderId="0" xfId="0" applyFont="1" applyAlignment="1">
      <alignment horizontal="center" wrapText="1"/>
    </xf>
  </cellXfs>
  <cellStyles count="3">
    <cellStyle name="Currency" xfId="1" builtinId="4"/>
    <cellStyle name="Normal" xfId="0" builtinId="0" customBuiltin="1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A1CFA-7950-4AD7-B10A-B880A1179575}">
  <dimension ref="B2:J126"/>
  <sheetViews>
    <sheetView topLeftCell="A23" zoomScale="70" zoomScaleNormal="70" workbookViewId="0">
      <selection activeCell="F13" sqref="F13"/>
    </sheetView>
  </sheetViews>
  <sheetFormatPr defaultRowHeight="13.2" x14ac:dyDescent="0.25"/>
  <cols>
    <col min="2" max="2" width="50.109375" bestFit="1" customWidth="1"/>
    <col min="3" max="3" width="19.88671875" bestFit="1" customWidth="1"/>
    <col min="4" max="5" width="14.44140625" bestFit="1" customWidth="1"/>
    <col min="6" max="7" width="13.77734375" bestFit="1" customWidth="1"/>
    <col min="8" max="8" width="15.33203125" bestFit="1" customWidth="1"/>
    <col min="9" max="9" width="46.88671875" bestFit="1" customWidth="1"/>
    <col min="10" max="10" width="41.88671875" customWidth="1"/>
    <col min="11" max="11" width="10.109375" bestFit="1" customWidth="1"/>
  </cols>
  <sheetData>
    <row r="2" spans="2:10" x14ac:dyDescent="0.25">
      <c r="B2" s="1" t="s">
        <v>0</v>
      </c>
    </row>
    <row r="4" spans="2:10" ht="13.8" thickBot="1" x14ac:dyDescent="0.3">
      <c r="B4" s="15" t="s">
        <v>48</v>
      </c>
      <c r="C4" s="16">
        <v>2025</v>
      </c>
      <c r="D4" s="16">
        <v>2026</v>
      </c>
      <c r="E4" s="16">
        <v>2027</v>
      </c>
      <c r="F4" s="16">
        <v>2028</v>
      </c>
      <c r="G4" s="16">
        <v>2029</v>
      </c>
      <c r="H4" s="16">
        <v>2030</v>
      </c>
      <c r="I4" s="17" t="s">
        <v>9</v>
      </c>
      <c r="J4" s="17" t="s">
        <v>41</v>
      </c>
    </row>
    <row r="5" spans="2:10" x14ac:dyDescent="0.25">
      <c r="B5" s="14" t="s">
        <v>1</v>
      </c>
      <c r="C5" s="4">
        <f>Assumptions!F4</f>
        <v>4231023</v>
      </c>
      <c r="D5" s="4">
        <f>Assumptions!G4</f>
        <v>6340214</v>
      </c>
      <c r="E5" s="4">
        <f>Assumptions!H4</f>
        <v>7853294</v>
      </c>
      <c r="F5" s="4">
        <f>Assumptions!I4</f>
        <v>9729312</v>
      </c>
      <c r="G5" s="4">
        <f>Assumptions!J4</f>
        <v>11223144</v>
      </c>
      <c r="H5" s="4">
        <f>Assumptions!K4</f>
        <v>12391285</v>
      </c>
      <c r="I5" t="s">
        <v>10</v>
      </c>
      <c r="J5" s="11"/>
    </row>
    <row r="6" spans="2:10" x14ac:dyDescent="0.25">
      <c r="B6" s="14"/>
      <c r="C6" s="4"/>
      <c r="D6" s="4"/>
      <c r="E6" s="4"/>
      <c r="F6" s="4"/>
      <c r="G6" s="4"/>
      <c r="H6" s="4"/>
      <c r="J6" s="11"/>
    </row>
    <row r="7" spans="2:10" x14ac:dyDescent="0.25">
      <c r="B7" s="14" t="s">
        <v>12</v>
      </c>
      <c r="C7" s="4">
        <v>200</v>
      </c>
      <c r="D7" s="4">
        <v>200</v>
      </c>
      <c r="E7" s="4">
        <v>200</v>
      </c>
      <c r="F7" s="4">
        <v>200</v>
      </c>
      <c r="G7" s="4">
        <v>200</v>
      </c>
      <c r="H7" s="4">
        <v>200</v>
      </c>
      <c r="I7" t="s">
        <v>13</v>
      </c>
      <c r="J7" s="11"/>
    </row>
    <row r="8" spans="2:10" x14ac:dyDescent="0.25">
      <c r="B8" s="14" t="s">
        <v>8</v>
      </c>
      <c r="C8" s="6">
        <v>30</v>
      </c>
      <c r="D8" s="6">
        <f>C8*1.02</f>
        <v>30.6</v>
      </c>
      <c r="E8" s="6">
        <f t="shared" ref="E8:H8" si="0">D8*1.02</f>
        <v>31.212000000000003</v>
      </c>
      <c r="F8" s="6">
        <f t="shared" si="0"/>
        <v>31.836240000000004</v>
      </c>
      <c r="G8" s="6">
        <f t="shared" si="0"/>
        <v>32.472964800000007</v>
      </c>
      <c r="H8" s="6">
        <f t="shared" si="0"/>
        <v>33.12242409600001</v>
      </c>
      <c r="I8" t="s">
        <v>18</v>
      </c>
      <c r="J8" s="11"/>
    </row>
    <row r="9" spans="2:10" x14ac:dyDescent="0.25">
      <c r="C9" s="9"/>
      <c r="J9" s="11"/>
    </row>
    <row r="10" spans="2:10" x14ac:dyDescent="0.25">
      <c r="B10" s="13" t="s">
        <v>22</v>
      </c>
      <c r="J10" s="11"/>
    </row>
    <row r="11" spans="2:10" ht="92.4" x14ac:dyDescent="0.25">
      <c r="B11" s="14" t="s">
        <v>62</v>
      </c>
      <c r="C11" s="7">
        <f>(C5*C7*C8)/1000000000</f>
        <v>25.386137999999999</v>
      </c>
      <c r="D11" s="7">
        <f t="shared" ref="D11:H11" si="1">(D5*D7*D8)/1000000000</f>
        <v>38.802109680000001</v>
      </c>
      <c r="E11" s="7">
        <f t="shared" si="1"/>
        <v>49.023402465600007</v>
      </c>
      <c r="F11" s="7">
        <f t="shared" si="1"/>
        <v>61.948942373376006</v>
      </c>
      <c r="G11" s="7">
        <f t="shared" si="1"/>
        <v>72.889752011466257</v>
      </c>
      <c r="H11" s="7">
        <f t="shared" si="1"/>
        <v>82.085879372880697</v>
      </c>
      <c r="I11" t="s">
        <v>15</v>
      </c>
      <c r="J11" s="11" t="s">
        <v>87</v>
      </c>
    </row>
    <row r="12" spans="2:10" x14ac:dyDescent="0.25">
      <c r="B12" s="14" t="s">
        <v>14</v>
      </c>
      <c r="C12" s="8">
        <v>0.02</v>
      </c>
      <c r="D12" s="8">
        <v>0.02</v>
      </c>
      <c r="E12" s="8">
        <v>0.02</v>
      </c>
      <c r="F12" s="8">
        <v>0.02</v>
      </c>
      <c r="G12" s="8">
        <v>0.02</v>
      </c>
      <c r="H12" s="8">
        <v>0.02</v>
      </c>
      <c r="I12" t="s">
        <v>13</v>
      </c>
      <c r="J12" s="11"/>
    </row>
    <row r="13" spans="2:10" ht="52.8" x14ac:dyDescent="0.25">
      <c r="B13" s="14" t="s">
        <v>71</v>
      </c>
      <c r="C13" s="7">
        <f>C12*C11</f>
        <v>0.50772275999999994</v>
      </c>
      <c r="D13" s="7">
        <f t="shared" ref="D13:H13" si="2">D12*D11</f>
        <v>0.77604219360000004</v>
      </c>
      <c r="E13" s="7">
        <f t="shared" si="2"/>
        <v>0.98046804931200016</v>
      </c>
      <c r="F13" s="7">
        <f t="shared" si="2"/>
        <v>1.2389788474675201</v>
      </c>
      <c r="G13" s="7">
        <f t="shared" si="2"/>
        <v>1.4577950402293252</v>
      </c>
      <c r="H13" s="7">
        <f t="shared" si="2"/>
        <v>1.641717587457614</v>
      </c>
      <c r="I13" t="s">
        <v>15</v>
      </c>
      <c r="J13" s="11" t="s">
        <v>63</v>
      </c>
    </row>
    <row r="14" spans="2:10" x14ac:dyDescent="0.25">
      <c r="C14" s="4"/>
      <c r="D14" s="4"/>
      <c r="E14" s="4"/>
      <c r="F14" s="4"/>
      <c r="G14" s="4"/>
      <c r="H14" s="4"/>
      <c r="J14" s="11"/>
    </row>
    <row r="15" spans="2:10" x14ac:dyDescent="0.25">
      <c r="B15" s="10" t="s">
        <v>21</v>
      </c>
      <c r="J15" s="11"/>
    </row>
    <row r="16" spans="2:10" x14ac:dyDescent="0.25">
      <c r="B16" s="14" t="s">
        <v>16</v>
      </c>
      <c r="C16" s="8">
        <v>0.01</v>
      </c>
      <c r="D16" s="8">
        <v>0.01</v>
      </c>
      <c r="E16" s="8">
        <v>0.01</v>
      </c>
      <c r="F16" s="8">
        <v>0.01</v>
      </c>
      <c r="G16" s="8">
        <v>0.01</v>
      </c>
      <c r="H16" s="8">
        <v>0.01</v>
      </c>
      <c r="I16" t="s">
        <v>13</v>
      </c>
      <c r="J16" s="11"/>
    </row>
    <row r="17" spans="2:10" x14ac:dyDescent="0.25">
      <c r="B17" s="14" t="s">
        <v>79</v>
      </c>
      <c r="C17" s="7">
        <f t="shared" ref="C17:H17" si="3">C16*C11</f>
        <v>0.25386137999999997</v>
      </c>
      <c r="D17" s="7">
        <f t="shared" si="3"/>
        <v>0.38802109680000002</v>
      </c>
      <c r="E17" s="7">
        <f t="shared" si="3"/>
        <v>0.49023402465600008</v>
      </c>
      <c r="F17" s="7">
        <f t="shared" si="3"/>
        <v>0.61948942373376004</v>
      </c>
      <c r="G17" s="7">
        <f t="shared" si="3"/>
        <v>0.72889752011466258</v>
      </c>
      <c r="H17" s="7">
        <f t="shared" si="3"/>
        <v>0.82085879372880699</v>
      </c>
      <c r="I17" t="s">
        <v>17</v>
      </c>
      <c r="J17" s="11"/>
    </row>
    <row r="18" spans="2:10" x14ac:dyDescent="0.25">
      <c r="B18" s="14"/>
      <c r="C18" s="7"/>
      <c r="D18" s="7"/>
      <c r="E18" s="7"/>
      <c r="F18" s="7"/>
      <c r="G18" s="7"/>
      <c r="H18" s="7"/>
      <c r="J18" s="11"/>
    </row>
    <row r="19" spans="2:10" x14ac:dyDescent="0.25">
      <c r="B19" s="14" t="s">
        <v>20</v>
      </c>
      <c r="C19" s="8">
        <v>0.5</v>
      </c>
      <c r="D19" s="8">
        <f>C19-0.05</f>
        <v>0.45</v>
      </c>
      <c r="E19" s="8">
        <f t="shared" ref="E19:H19" si="4">D19-0.05</f>
        <v>0.4</v>
      </c>
      <c r="F19" s="8">
        <f t="shared" si="4"/>
        <v>0.35000000000000003</v>
      </c>
      <c r="G19" s="8">
        <f t="shared" si="4"/>
        <v>0.30000000000000004</v>
      </c>
      <c r="H19" s="8">
        <f t="shared" si="4"/>
        <v>0.25000000000000006</v>
      </c>
      <c r="I19" t="s">
        <v>19</v>
      </c>
      <c r="J19" s="11"/>
    </row>
    <row r="20" spans="2:10" x14ac:dyDescent="0.25">
      <c r="B20" s="14" t="s">
        <v>80</v>
      </c>
      <c r="C20" s="7">
        <f t="shared" ref="C20:H20" si="5">C19*C13</f>
        <v>0.25386137999999997</v>
      </c>
      <c r="E20" s="7">
        <f t="shared" si="5"/>
        <v>0.39218721972480008</v>
      </c>
      <c r="F20" s="7">
        <f t="shared" si="5"/>
        <v>0.43364259661363208</v>
      </c>
      <c r="G20" s="7">
        <f t="shared" si="5"/>
        <v>0.43733851206879759</v>
      </c>
      <c r="H20" s="7">
        <f t="shared" si="5"/>
        <v>0.41042939686440361</v>
      </c>
      <c r="I20" t="s">
        <v>17</v>
      </c>
      <c r="J20" s="11"/>
    </row>
    <row r="21" spans="2:10" x14ac:dyDescent="0.25">
      <c r="B21" s="14"/>
      <c r="C21" s="7"/>
      <c r="D21" s="7">
        <f>D19*D13</f>
        <v>0.34921898712000005</v>
      </c>
      <c r="E21" s="7"/>
      <c r="F21" s="7"/>
      <c r="G21" s="7"/>
      <c r="H21" s="7"/>
      <c r="J21" s="11"/>
    </row>
    <row r="22" spans="2:10" x14ac:dyDescent="0.25">
      <c r="B22" s="14" t="s">
        <v>24</v>
      </c>
      <c r="C22" s="8">
        <v>0.1</v>
      </c>
      <c r="D22" s="8">
        <f>C22-0.01</f>
        <v>9.0000000000000011E-2</v>
      </c>
      <c r="E22" s="8">
        <f t="shared" ref="E22:H22" si="6">D22-0.01</f>
        <v>8.0000000000000016E-2</v>
      </c>
      <c r="F22" s="8">
        <f t="shared" si="6"/>
        <v>7.0000000000000021E-2</v>
      </c>
      <c r="G22" s="8">
        <f t="shared" si="6"/>
        <v>6.0000000000000019E-2</v>
      </c>
      <c r="H22" s="8">
        <f t="shared" si="6"/>
        <v>5.0000000000000017E-2</v>
      </c>
      <c r="I22" t="s">
        <v>23</v>
      </c>
      <c r="J22" s="11"/>
    </row>
    <row r="23" spans="2:10" x14ac:dyDescent="0.25">
      <c r="B23" s="14" t="s">
        <v>30</v>
      </c>
      <c r="C23" s="7">
        <f>C22*C13</f>
        <v>5.0772275999999998E-2</v>
      </c>
      <c r="D23" s="7">
        <f t="shared" ref="D23:H23" si="7">D22*D13</f>
        <v>6.9843797424000015E-2</v>
      </c>
      <c r="E23" s="7">
        <f t="shared" si="7"/>
        <v>7.8437443944960022E-2</v>
      </c>
      <c r="F23" s="7">
        <f t="shared" si="7"/>
        <v>8.6728519322726433E-2</v>
      </c>
      <c r="G23" s="7">
        <f t="shared" si="7"/>
        <v>8.7467702413759535E-2</v>
      </c>
      <c r="H23" s="7">
        <f t="shared" si="7"/>
        <v>8.2085879372880727E-2</v>
      </c>
      <c r="I23" t="s">
        <v>17</v>
      </c>
      <c r="J23" s="11"/>
    </row>
    <row r="24" spans="2:10" x14ac:dyDescent="0.25">
      <c r="B24" s="14"/>
      <c r="C24" s="7"/>
      <c r="D24" s="7"/>
      <c r="E24" s="7"/>
      <c r="F24" s="7"/>
      <c r="G24" s="7"/>
      <c r="H24" s="7"/>
      <c r="J24" s="11"/>
    </row>
    <row r="25" spans="2:10" x14ac:dyDescent="0.25">
      <c r="B25" s="14" t="s">
        <v>25</v>
      </c>
      <c r="C25" s="8">
        <v>0.05</v>
      </c>
      <c r="D25" s="8">
        <v>0.05</v>
      </c>
      <c r="E25" s="8">
        <v>0.05</v>
      </c>
      <c r="F25" s="8">
        <v>0.05</v>
      </c>
      <c r="G25" s="8">
        <v>0.05</v>
      </c>
      <c r="H25" s="8">
        <v>0.05</v>
      </c>
      <c r="I25" t="s">
        <v>13</v>
      </c>
      <c r="J25" s="11"/>
    </row>
    <row r="26" spans="2:10" x14ac:dyDescent="0.25">
      <c r="B26" s="14" t="s">
        <v>31</v>
      </c>
      <c r="C26" s="7">
        <f>C25*C13</f>
        <v>2.5386137999999999E-2</v>
      </c>
      <c r="D26" s="7">
        <f t="shared" ref="D26:H26" si="8">D25*D13</f>
        <v>3.8802109680000002E-2</v>
      </c>
      <c r="E26" s="7">
        <f t="shared" si="8"/>
        <v>4.9023402465600011E-2</v>
      </c>
      <c r="F26" s="7">
        <f t="shared" si="8"/>
        <v>6.1948942373376004E-2</v>
      </c>
      <c r="G26" s="7">
        <f t="shared" si="8"/>
        <v>7.2889752011466261E-2</v>
      </c>
      <c r="H26" s="7">
        <f t="shared" si="8"/>
        <v>8.2085879372880699E-2</v>
      </c>
      <c r="I26" t="s">
        <v>17</v>
      </c>
      <c r="J26" s="11"/>
    </row>
    <row r="27" spans="2:10" x14ac:dyDescent="0.25">
      <c r="C27" s="7"/>
      <c r="D27" s="7"/>
      <c r="E27" s="7"/>
      <c r="F27" s="7"/>
      <c r="G27" s="7"/>
      <c r="H27" s="7"/>
      <c r="J27" s="11"/>
    </row>
    <row r="28" spans="2:10" x14ac:dyDescent="0.25">
      <c r="C28" s="7"/>
      <c r="D28" s="7"/>
      <c r="E28" s="7"/>
      <c r="F28" s="7"/>
      <c r="G28" s="7"/>
      <c r="H28" s="7"/>
      <c r="J28" s="11"/>
    </row>
    <row r="29" spans="2:10" x14ac:dyDescent="0.25">
      <c r="B29" s="10" t="s">
        <v>70</v>
      </c>
      <c r="C29" s="7"/>
      <c r="D29" s="7"/>
      <c r="E29" s="7"/>
      <c r="F29" s="7"/>
      <c r="G29" s="7"/>
      <c r="H29" s="7"/>
      <c r="J29" s="11"/>
    </row>
    <row r="30" spans="2:10" x14ac:dyDescent="0.25">
      <c r="B30" s="14" t="s">
        <v>33</v>
      </c>
      <c r="C30" s="7">
        <f>C13-C17-C20-C23-C26</f>
        <v>-7.6158413999999994E-2</v>
      </c>
      <c r="D30" s="7">
        <f>D13-D17-D21-D23-D26</f>
        <v>-6.9843797424000043E-2</v>
      </c>
      <c r="E30" s="7">
        <f t="shared" ref="E30:H30" si="9">E13-E17-E20-E23-E26</f>
        <v>-2.941404147936004E-2</v>
      </c>
      <c r="F30" s="7">
        <f t="shared" si="9"/>
        <v>3.7169365424025519E-2</v>
      </c>
      <c r="G30" s="7">
        <f t="shared" si="9"/>
        <v>0.13120155362063918</v>
      </c>
      <c r="H30" s="7">
        <f t="shared" si="9"/>
        <v>0.24625763811864199</v>
      </c>
      <c r="I30" t="s">
        <v>27</v>
      </c>
    </row>
    <row r="31" spans="2:10" x14ac:dyDescent="0.25">
      <c r="B31" s="14"/>
      <c r="C31" s="7"/>
      <c r="D31" s="7"/>
      <c r="E31" s="7"/>
      <c r="F31" s="7"/>
      <c r="G31" s="7"/>
      <c r="H31" s="7"/>
    </row>
    <row r="32" spans="2:10" x14ac:dyDescent="0.25">
      <c r="B32" s="14" t="s">
        <v>26</v>
      </c>
      <c r="C32" s="8">
        <f>C30/C13</f>
        <v>-0.15</v>
      </c>
      <c r="D32" s="8">
        <f t="shared" ref="D32:H32" si="10">D30/D13</f>
        <v>-9.0000000000000052E-2</v>
      </c>
      <c r="E32" s="8">
        <f t="shared" si="10"/>
        <v>-3.0000000000000037E-2</v>
      </c>
      <c r="F32" s="8">
        <f t="shared" si="10"/>
        <v>2.9999999999999933E-2</v>
      </c>
      <c r="G32" s="8">
        <f t="shared" si="10"/>
        <v>8.9999999999999941E-2</v>
      </c>
      <c r="H32" s="8">
        <f t="shared" si="10"/>
        <v>0.14999999999999994</v>
      </c>
      <c r="I32" t="s">
        <v>34</v>
      </c>
    </row>
    <row r="33" spans="2:10" ht="39.6" x14ac:dyDescent="0.25">
      <c r="B33" s="14" t="s">
        <v>28</v>
      </c>
      <c r="C33" s="8">
        <f>D33+0.05</f>
        <v>0.57847627630480891</v>
      </c>
      <c r="D33" s="8">
        <f>(D13-C13)/C13</f>
        <v>0.52847627630480887</v>
      </c>
      <c r="E33" s="8">
        <f t="shared" ref="E33:H33" si="11">(E13-D13)/D13</f>
        <v>0.26342105802737903</v>
      </c>
      <c r="F33" s="8">
        <f t="shared" si="11"/>
        <v>0.26366060407263486</v>
      </c>
      <c r="G33" s="8">
        <f t="shared" si="11"/>
        <v>0.17661011179413325</v>
      </c>
      <c r="H33" s="8">
        <f t="shared" si="11"/>
        <v>0.12616488748607352</v>
      </c>
      <c r="I33" t="s">
        <v>15</v>
      </c>
      <c r="J33" s="11" t="s">
        <v>75</v>
      </c>
    </row>
    <row r="34" spans="2:10" x14ac:dyDescent="0.25">
      <c r="B34" s="14"/>
      <c r="C34" s="8"/>
      <c r="D34" s="8"/>
      <c r="E34" s="8"/>
      <c r="F34" s="8"/>
      <c r="G34" s="8"/>
      <c r="H34" s="8"/>
    </row>
    <row r="35" spans="2:10" x14ac:dyDescent="0.25">
      <c r="C35" s="8"/>
      <c r="D35" s="8"/>
      <c r="E35" s="8"/>
      <c r="F35" s="8"/>
      <c r="G35" s="8"/>
      <c r="H35" s="8"/>
    </row>
    <row r="36" spans="2:10" x14ac:dyDescent="0.25">
      <c r="B36" s="10" t="s">
        <v>35</v>
      </c>
    </row>
    <row r="37" spans="2:10" x14ac:dyDescent="0.25">
      <c r="B37" s="14" t="s">
        <v>37</v>
      </c>
      <c r="C37" s="8">
        <f t="shared" ref="C37:H37" si="12">C33+C32</f>
        <v>0.42847627630480889</v>
      </c>
      <c r="D37" s="8">
        <f t="shared" si="12"/>
        <v>0.43847627630480879</v>
      </c>
      <c r="E37" s="8">
        <f t="shared" si="12"/>
        <v>0.233421058027379</v>
      </c>
      <c r="F37" s="8">
        <f t="shared" si="12"/>
        <v>0.29366060407263478</v>
      </c>
      <c r="G37" s="8">
        <f t="shared" si="12"/>
        <v>0.26661011179413319</v>
      </c>
      <c r="H37" s="8">
        <f t="shared" si="12"/>
        <v>0.27616488748607348</v>
      </c>
      <c r="I37" t="s">
        <v>17</v>
      </c>
      <c r="J37" t="s">
        <v>36</v>
      </c>
    </row>
    <row r="38" spans="2:10" x14ac:dyDescent="0.25">
      <c r="C38" s="7"/>
      <c r="D38" s="7"/>
      <c r="E38" s="7"/>
      <c r="F38" s="7"/>
      <c r="G38" s="7"/>
      <c r="H38" s="7"/>
    </row>
    <row r="39" spans="2:10" x14ac:dyDescent="0.25">
      <c r="C39" s="7"/>
      <c r="D39" s="7"/>
      <c r="E39" s="7"/>
      <c r="F39" s="7"/>
      <c r="G39" s="7"/>
      <c r="H39" s="7"/>
    </row>
    <row r="40" spans="2:10" x14ac:dyDescent="0.25">
      <c r="C40" s="7"/>
      <c r="D40" s="7"/>
      <c r="E40" s="7"/>
      <c r="F40" s="7"/>
      <c r="G40" s="7"/>
      <c r="H40" s="7"/>
    </row>
    <row r="41" spans="2:10" x14ac:dyDescent="0.25">
      <c r="C41" s="7"/>
      <c r="D41" s="7"/>
      <c r="E41" s="7"/>
      <c r="F41" s="7"/>
      <c r="G41" s="7"/>
      <c r="H41" s="7"/>
    </row>
    <row r="42" spans="2:10" x14ac:dyDescent="0.25">
      <c r="C42" s="7"/>
      <c r="H42" s="7"/>
    </row>
    <row r="43" spans="2:10" x14ac:dyDescent="0.25">
      <c r="C43" s="7"/>
      <c r="D43" s="7"/>
      <c r="E43" s="7"/>
      <c r="F43" s="7"/>
      <c r="G43" s="7"/>
      <c r="H43" s="7"/>
    </row>
    <row r="44" spans="2:10" x14ac:dyDescent="0.25">
      <c r="C44" s="7"/>
      <c r="D44" s="7"/>
      <c r="E44" s="7"/>
      <c r="F44" s="7"/>
      <c r="G44" s="7"/>
      <c r="H44" s="7"/>
    </row>
    <row r="45" spans="2:10" x14ac:dyDescent="0.25">
      <c r="C45" s="7"/>
      <c r="D45" s="7"/>
      <c r="E45" s="7"/>
      <c r="F45" s="7"/>
      <c r="G45" s="7"/>
      <c r="H45" s="7"/>
    </row>
    <row r="46" spans="2:10" x14ac:dyDescent="0.25">
      <c r="C46" s="7"/>
      <c r="D46" s="7"/>
      <c r="E46" s="7"/>
      <c r="F46" s="7"/>
      <c r="G46" s="7"/>
      <c r="H46" s="7"/>
    </row>
    <row r="47" spans="2:10" x14ac:dyDescent="0.25">
      <c r="C47" s="7"/>
      <c r="D47" s="7"/>
      <c r="E47" s="7"/>
      <c r="F47" s="7"/>
      <c r="G47" s="7"/>
      <c r="H47" s="7"/>
    </row>
    <row r="48" spans="2:10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  <row r="90" spans="3:8" x14ac:dyDescent="0.25">
      <c r="C90" s="7"/>
      <c r="D90" s="7"/>
      <c r="E90" s="7"/>
      <c r="F90" s="7"/>
      <c r="G90" s="7"/>
      <c r="H90" s="7"/>
    </row>
    <row r="91" spans="3:8" x14ac:dyDescent="0.25">
      <c r="C91" s="7"/>
      <c r="D91" s="7"/>
      <c r="E91" s="7"/>
      <c r="F91" s="7"/>
      <c r="G91" s="7"/>
      <c r="H91" s="7"/>
    </row>
    <row r="92" spans="3:8" x14ac:dyDescent="0.25">
      <c r="C92" s="7"/>
      <c r="D92" s="7"/>
      <c r="E92" s="7"/>
      <c r="F92" s="7"/>
      <c r="G92" s="7"/>
      <c r="H92" s="7"/>
    </row>
    <row r="93" spans="3:8" x14ac:dyDescent="0.25">
      <c r="C93" s="7"/>
      <c r="D93" s="7"/>
      <c r="E93" s="7"/>
      <c r="F93" s="7"/>
      <c r="G93" s="7"/>
      <c r="H93" s="7"/>
    </row>
    <row r="94" spans="3:8" x14ac:dyDescent="0.25">
      <c r="C94" s="7"/>
      <c r="D94" s="7"/>
      <c r="E94" s="7"/>
      <c r="F94" s="7"/>
      <c r="G94" s="7"/>
      <c r="H94" s="7"/>
    </row>
    <row r="95" spans="3:8" x14ac:dyDescent="0.25">
      <c r="C95" s="7"/>
      <c r="D95" s="7"/>
      <c r="E95" s="7"/>
      <c r="F95" s="7"/>
      <c r="G95" s="7"/>
      <c r="H95" s="7"/>
    </row>
    <row r="96" spans="3:8" x14ac:dyDescent="0.25">
      <c r="C96" s="7"/>
      <c r="D96" s="7"/>
      <c r="E96" s="7"/>
      <c r="F96" s="7"/>
      <c r="G96" s="7"/>
      <c r="H96" s="7"/>
    </row>
    <row r="97" spans="3:8" x14ac:dyDescent="0.25">
      <c r="C97" s="7"/>
      <c r="D97" s="7"/>
      <c r="E97" s="7"/>
      <c r="F97" s="7"/>
      <c r="G97" s="7"/>
      <c r="H97" s="7"/>
    </row>
    <row r="98" spans="3:8" x14ac:dyDescent="0.25">
      <c r="C98" s="7"/>
      <c r="D98" s="7"/>
      <c r="E98" s="7"/>
      <c r="F98" s="7"/>
      <c r="G98" s="7"/>
      <c r="H98" s="7"/>
    </row>
    <row r="99" spans="3:8" x14ac:dyDescent="0.25">
      <c r="C99" s="7"/>
      <c r="D99" s="7"/>
      <c r="E99" s="7"/>
      <c r="F99" s="7"/>
      <c r="G99" s="7"/>
      <c r="H99" s="7"/>
    </row>
    <row r="100" spans="3:8" x14ac:dyDescent="0.25">
      <c r="C100" s="7"/>
      <c r="D100" s="7"/>
      <c r="E100" s="7"/>
      <c r="F100" s="7"/>
      <c r="G100" s="7"/>
      <c r="H100" s="7"/>
    </row>
    <row r="101" spans="3:8" x14ac:dyDescent="0.25">
      <c r="C101" s="7"/>
      <c r="D101" s="7"/>
      <c r="E101" s="7"/>
      <c r="F101" s="7"/>
      <c r="G101" s="7"/>
      <c r="H101" s="7"/>
    </row>
    <row r="102" spans="3:8" x14ac:dyDescent="0.25">
      <c r="C102" s="7"/>
      <c r="D102" s="7"/>
      <c r="E102" s="7"/>
      <c r="F102" s="7"/>
      <c r="G102" s="7"/>
      <c r="H102" s="7"/>
    </row>
    <row r="103" spans="3:8" x14ac:dyDescent="0.25">
      <c r="C103" s="7"/>
      <c r="D103" s="7"/>
      <c r="E103" s="7"/>
      <c r="F103" s="7"/>
      <c r="G103" s="7"/>
      <c r="H103" s="7"/>
    </row>
    <row r="104" spans="3:8" x14ac:dyDescent="0.25">
      <c r="C104" s="7"/>
      <c r="D104" s="7"/>
      <c r="E104" s="7"/>
      <c r="F104" s="7"/>
      <c r="G104" s="7"/>
      <c r="H104" s="7"/>
    </row>
    <row r="105" spans="3:8" x14ac:dyDescent="0.25">
      <c r="C105" s="7"/>
      <c r="D105" s="7"/>
      <c r="E105" s="7"/>
      <c r="F105" s="7"/>
      <c r="G105" s="7"/>
      <c r="H105" s="7"/>
    </row>
    <row r="106" spans="3:8" x14ac:dyDescent="0.25">
      <c r="C106" s="7"/>
      <c r="D106" s="7"/>
      <c r="E106" s="7"/>
      <c r="F106" s="7"/>
      <c r="G106" s="7"/>
      <c r="H106" s="7"/>
    </row>
    <row r="107" spans="3:8" x14ac:dyDescent="0.25">
      <c r="C107" s="7"/>
      <c r="D107" s="7"/>
      <c r="E107" s="7"/>
      <c r="F107" s="7"/>
      <c r="G107" s="7"/>
      <c r="H107" s="7"/>
    </row>
    <row r="108" spans="3:8" x14ac:dyDescent="0.25">
      <c r="C108" s="7"/>
      <c r="D108" s="7"/>
      <c r="E108" s="7"/>
      <c r="F108" s="7"/>
      <c r="G108" s="7"/>
      <c r="H108" s="7"/>
    </row>
    <row r="109" spans="3:8" x14ac:dyDescent="0.25">
      <c r="C109" s="7"/>
      <c r="D109" s="7"/>
      <c r="E109" s="7"/>
      <c r="F109" s="7"/>
      <c r="G109" s="7"/>
      <c r="H109" s="7"/>
    </row>
    <row r="110" spans="3:8" x14ac:dyDescent="0.25">
      <c r="C110" s="7"/>
      <c r="D110" s="7"/>
      <c r="E110" s="7"/>
      <c r="F110" s="7"/>
      <c r="G110" s="7"/>
      <c r="H110" s="7"/>
    </row>
    <row r="111" spans="3:8" x14ac:dyDescent="0.25">
      <c r="C111" s="7"/>
      <c r="D111" s="7"/>
      <c r="E111" s="7"/>
      <c r="F111" s="7"/>
      <c r="G111" s="7"/>
      <c r="H111" s="7"/>
    </row>
    <row r="112" spans="3:8" x14ac:dyDescent="0.25">
      <c r="C112" s="7"/>
      <c r="D112" s="7"/>
      <c r="E112" s="7"/>
      <c r="F112" s="7"/>
      <c r="G112" s="7"/>
      <c r="H112" s="7"/>
    </row>
    <row r="113" spans="3:8" x14ac:dyDescent="0.25">
      <c r="C113" s="7"/>
      <c r="D113" s="7"/>
      <c r="E113" s="7"/>
      <c r="F113" s="7"/>
      <c r="G113" s="7"/>
      <c r="H113" s="7"/>
    </row>
    <row r="114" spans="3:8" x14ac:dyDescent="0.25">
      <c r="C114" s="7"/>
      <c r="D114" s="7"/>
      <c r="E114" s="7"/>
      <c r="F114" s="7"/>
      <c r="G114" s="7"/>
      <c r="H114" s="7"/>
    </row>
    <row r="115" spans="3:8" x14ac:dyDescent="0.25">
      <c r="C115" s="7"/>
      <c r="D115" s="7"/>
      <c r="E115" s="7"/>
      <c r="F115" s="7"/>
      <c r="G115" s="7"/>
      <c r="H115" s="7"/>
    </row>
    <row r="116" spans="3:8" x14ac:dyDescent="0.25">
      <c r="C116" s="7"/>
      <c r="D116" s="7"/>
      <c r="E116" s="7"/>
      <c r="F116" s="7"/>
      <c r="G116" s="7"/>
      <c r="H116" s="7"/>
    </row>
    <row r="117" spans="3:8" x14ac:dyDescent="0.25">
      <c r="C117" s="7"/>
      <c r="D117" s="7"/>
      <c r="E117" s="7"/>
      <c r="F117" s="7"/>
      <c r="G117" s="7"/>
      <c r="H117" s="7"/>
    </row>
    <row r="118" spans="3:8" x14ac:dyDescent="0.25">
      <c r="C118" s="7"/>
      <c r="D118" s="7"/>
      <c r="E118" s="7"/>
      <c r="F118" s="7"/>
      <c r="G118" s="7"/>
      <c r="H118" s="7"/>
    </row>
    <row r="119" spans="3:8" x14ac:dyDescent="0.25">
      <c r="C119" s="7"/>
      <c r="D119" s="7"/>
      <c r="E119" s="7"/>
      <c r="F119" s="7"/>
      <c r="G119" s="7"/>
      <c r="H119" s="7"/>
    </row>
    <row r="120" spans="3:8" x14ac:dyDescent="0.25">
      <c r="C120" s="7"/>
      <c r="D120" s="7"/>
      <c r="E120" s="7"/>
      <c r="F120" s="7"/>
      <c r="G120" s="7"/>
      <c r="H120" s="7"/>
    </row>
    <row r="121" spans="3:8" x14ac:dyDescent="0.25">
      <c r="C121" s="7"/>
      <c r="D121" s="7"/>
      <c r="E121" s="7"/>
      <c r="F121" s="7"/>
      <c r="G121" s="7"/>
      <c r="H121" s="7"/>
    </row>
    <row r="122" spans="3:8" x14ac:dyDescent="0.25">
      <c r="C122" s="7"/>
      <c r="D122" s="7"/>
      <c r="E122" s="7"/>
      <c r="F122" s="7"/>
      <c r="G122" s="7"/>
      <c r="H122" s="7"/>
    </row>
    <row r="123" spans="3:8" x14ac:dyDescent="0.25">
      <c r="C123" s="7"/>
      <c r="D123" s="7"/>
      <c r="E123" s="7"/>
      <c r="F123" s="7"/>
      <c r="G123" s="7"/>
      <c r="H123" s="7"/>
    </row>
    <row r="124" spans="3:8" x14ac:dyDescent="0.25">
      <c r="C124" s="7"/>
      <c r="D124" s="7"/>
      <c r="E124" s="7"/>
      <c r="F124" s="7"/>
      <c r="G124" s="7"/>
      <c r="H124" s="7"/>
    </row>
    <row r="125" spans="3:8" x14ac:dyDescent="0.25">
      <c r="C125" s="7"/>
      <c r="D125" s="7"/>
      <c r="E125" s="7"/>
      <c r="F125" s="7"/>
      <c r="G125" s="7"/>
      <c r="H125" s="7"/>
    </row>
    <row r="126" spans="3:8" x14ac:dyDescent="0.25">
      <c r="C126" s="7"/>
      <c r="D126" s="7"/>
      <c r="E126" s="7"/>
      <c r="F126" s="7"/>
      <c r="G126" s="7"/>
      <c r="H126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D6255-2A11-41D5-A123-DD66B153EBF7}">
  <dimension ref="B1:J92"/>
  <sheetViews>
    <sheetView tabSelected="1" zoomScale="87" zoomScaleNormal="60" workbookViewId="0">
      <selection activeCell="B3" sqref="B3"/>
    </sheetView>
  </sheetViews>
  <sheetFormatPr defaultRowHeight="13.2" x14ac:dyDescent="0.25"/>
  <cols>
    <col min="2" max="2" width="61.44140625" bestFit="1" customWidth="1"/>
    <col min="3" max="3" width="16.33203125" bestFit="1" customWidth="1"/>
    <col min="4" max="5" width="9.44140625" bestFit="1" customWidth="1"/>
    <col min="6" max="8" width="10.5546875" bestFit="1" customWidth="1"/>
    <col min="9" max="9" width="53.77734375" bestFit="1" customWidth="1"/>
    <col min="10" max="10" width="56.6640625" customWidth="1"/>
  </cols>
  <sheetData>
    <row r="1" spans="2:10" ht="33.6" customHeight="1" x14ac:dyDescent="0.25">
      <c r="B1" s="21" t="s">
        <v>92</v>
      </c>
      <c r="C1" s="21"/>
    </row>
    <row r="2" spans="2:10" x14ac:dyDescent="0.25">
      <c r="B2" s="21"/>
      <c r="C2" s="21"/>
    </row>
    <row r="4" spans="2:10" x14ac:dyDescent="0.25">
      <c r="B4" s="1" t="s">
        <v>38</v>
      </c>
    </row>
    <row r="6" spans="2:10" ht="13.8" thickBot="1" x14ac:dyDescent="0.3">
      <c r="B6" s="15" t="s">
        <v>48</v>
      </c>
      <c r="C6" s="16">
        <v>2025</v>
      </c>
      <c r="D6" s="16">
        <v>2026</v>
      </c>
      <c r="E6" s="16">
        <v>2027</v>
      </c>
      <c r="F6" s="16">
        <v>2028</v>
      </c>
      <c r="G6" s="16">
        <v>2029</v>
      </c>
      <c r="H6" s="16">
        <v>2030</v>
      </c>
      <c r="I6" s="17" t="s">
        <v>9</v>
      </c>
      <c r="J6" s="17" t="s">
        <v>41</v>
      </c>
    </row>
    <row r="7" spans="2:10" x14ac:dyDescent="0.25">
      <c r="B7" s="14" t="s">
        <v>39</v>
      </c>
      <c r="C7" s="4">
        <f>Assumptions!F4</f>
        <v>4231023</v>
      </c>
      <c r="D7" s="4">
        <f>Assumptions!G4</f>
        <v>6340214</v>
      </c>
      <c r="E7" s="4">
        <f>Assumptions!H4</f>
        <v>7853294</v>
      </c>
      <c r="F7" s="4">
        <f>Assumptions!I4</f>
        <v>9729312</v>
      </c>
      <c r="G7" s="4">
        <f>Assumptions!J4</f>
        <v>11223144</v>
      </c>
      <c r="H7" s="4">
        <f>Assumptions!K4</f>
        <v>12391285</v>
      </c>
      <c r="I7" t="s">
        <v>10</v>
      </c>
      <c r="J7" s="11"/>
    </row>
    <row r="8" spans="2:10" x14ac:dyDescent="0.25">
      <c r="B8" s="14" t="s">
        <v>40</v>
      </c>
      <c r="C8" s="4">
        <v>0</v>
      </c>
      <c r="D8" s="4">
        <f>C7*0.2</f>
        <v>846204.60000000009</v>
      </c>
      <c r="E8" s="4">
        <f>(D7-D8)*0.2</f>
        <v>1098801.8800000001</v>
      </c>
      <c r="F8" s="4">
        <f t="shared" ref="F8:H8" si="0">(E7-E8)*0.2</f>
        <v>1350898.4240000001</v>
      </c>
      <c r="G8" s="4">
        <f t="shared" si="0"/>
        <v>1675682.7152</v>
      </c>
      <c r="H8" s="4">
        <f t="shared" si="0"/>
        <v>1909492.2569600001</v>
      </c>
      <c r="I8" t="s">
        <v>11</v>
      </c>
    </row>
    <row r="9" spans="2:10" x14ac:dyDescent="0.25">
      <c r="B9" s="14" t="s">
        <v>43</v>
      </c>
      <c r="C9" s="4">
        <f>C7-C8</f>
        <v>4231023</v>
      </c>
      <c r="D9" s="4">
        <f t="shared" ref="D9:H9" si="1">D7-D8</f>
        <v>5494009.4000000004</v>
      </c>
      <c r="E9" s="4">
        <f t="shared" si="1"/>
        <v>6754492.1200000001</v>
      </c>
      <c r="F9" s="4">
        <f t="shared" si="1"/>
        <v>8378413.5759999994</v>
      </c>
      <c r="G9" s="4">
        <f t="shared" si="1"/>
        <v>9547461.2848000005</v>
      </c>
      <c r="H9" s="4">
        <f t="shared" si="1"/>
        <v>10481792.743039999</v>
      </c>
      <c r="I9" t="s">
        <v>17</v>
      </c>
    </row>
    <row r="10" spans="2:10" x14ac:dyDescent="0.25">
      <c r="B10" s="14"/>
      <c r="C10" s="4"/>
      <c r="D10" s="4"/>
      <c r="E10" s="4"/>
      <c r="F10" s="4"/>
      <c r="G10" s="4"/>
      <c r="H10" s="4"/>
    </row>
    <row r="11" spans="2:10" x14ac:dyDescent="0.25">
      <c r="B11" s="14" t="s">
        <v>42</v>
      </c>
      <c r="C11" s="4">
        <v>0</v>
      </c>
      <c r="D11" s="4">
        <f>C11+1000000</f>
        <v>1000000</v>
      </c>
      <c r="E11" s="4">
        <f>D11+1000000</f>
        <v>2000000</v>
      </c>
      <c r="F11" s="4">
        <f t="shared" ref="F11:H11" si="2">E11+1000000</f>
        <v>3000000</v>
      </c>
      <c r="G11" s="4">
        <f t="shared" si="2"/>
        <v>4000000</v>
      </c>
      <c r="H11" s="4">
        <f t="shared" si="2"/>
        <v>5000000</v>
      </c>
      <c r="I11" t="s">
        <v>44</v>
      </c>
    </row>
    <row r="12" spans="2:10" x14ac:dyDescent="0.25">
      <c r="B12" s="14" t="s">
        <v>46</v>
      </c>
      <c r="C12" s="4">
        <f>C11+C8</f>
        <v>0</v>
      </c>
      <c r="D12" s="4">
        <f t="shared" ref="D12:H12" si="3">D11+D8</f>
        <v>1846204.6</v>
      </c>
      <c r="E12" s="4">
        <f t="shared" si="3"/>
        <v>3098801.88</v>
      </c>
      <c r="F12" s="4">
        <f t="shared" si="3"/>
        <v>4350898.4240000006</v>
      </c>
      <c r="G12" s="4">
        <f t="shared" si="3"/>
        <v>5675682.7151999995</v>
      </c>
      <c r="H12" s="4">
        <f t="shared" si="3"/>
        <v>6909492.2569599999</v>
      </c>
      <c r="I12" t="s">
        <v>17</v>
      </c>
    </row>
    <row r="13" spans="2:10" x14ac:dyDescent="0.25">
      <c r="B13" s="14" t="s">
        <v>45</v>
      </c>
      <c r="C13" s="4"/>
      <c r="D13" s="8">
        <f>Assumptions!F9</f>
        <v>1</v>
      </c>
      <c r="E13" s="8">
        <f>Assumptions!G9</f>
        <v>0.9</v>
      </c>
      <c r="F13" s="8">
        <f>Assumptions!H9</f>
        <v>0.8</v>
      </c>
      <c r="G13" s="8">
        <f>Assumptions!I9</f>
        <v>0.75</v>
      </c>
      <c r="H13" s="8">
        <f>Assumptions!J9</f>
        <v>0.7</v>
      </c>
    </row>
    <row r="14" spans="2:10" x14ac:dyDescent="0.25">
      <c r="B14" s="14"/>
      <c r="C14" s="4"/>
      <c r="D14" s="4"/>
      <c r="E14" s="4"/>
      <c r="F14" s="4"/>
      <c r="G14" s="4"/>
      <c r="H14" s="4"/>
    </row>
    <row r="15" spans="2:10" x14ac:dyDescent="0.25">
      <c r="B15" s="14" t="s">
        <v>47</v>
      </c>
      <c r="C15" s="4">
        <v>0</v>
      </c>
      <c r="D15" s="4">
        <f>D13*D12</f>
        <v>1846204.6</v>
      </c>
      <c r="E15" s="4">
        <f t="shared" ref="E15:H15" si="4">E13*E12</f>
        <v>2788921.6919999998</v>
      </c>
      <c r="F15" s="4">
        <f t="shared" si="4"/>
        <v>3480718.7392000007</v>
      </c>
      <c r="G15" s="4">
        <f t="shared" si="4"/>
        <v>4256762.0363999996</v>
      </c>
      <c r="H15" s="4">
        <f t="shared" si="4"/>
        <v>4836644.579872</v>
      </c>
      <c r="I15" t="s">
        <v>17</v>
      </c>
    </row>
    <row r="16" spans="2:10" x14ac:dyDescent="0.25">
      <c r="B16" s="14" t="s">
        <v>88</v>
      </c>
      <c r="C16" s="4">
        <f>C9+C15</f>
        <v>4231023</v>
      </c>
      <c r="D16" s="4">
        <f t="shared" ref="D16:H16" si="5">D9+D15</f>
        <v>7340214</v>
      </c>
      <c r="E16" s="4">
        <f t="shared" si="5"/>
        <v>9543413.811999999</v>
      </c>
      <c r="F16" s="4">
        <f t="shared" si="5"/>
        <v>11859132.315200001</v>
      </c>
      <c r="G16" s="4">
        <f t="shared" si="5"/>
        <v>13804223.3212</v>
      </c>
      <c r="H16" s="4">
        <f t="shared" si="5"/>
        <v>15318437.322912</v>
      </c>
      <c r="I16" t="s">
        <v>17</v>
      </c>
    </row>
    <row r="17" spans="2:10" x14ac:dyDescent="0.25">
      <c r="B17" s="14"/>
      <c r="C17" s="4"/>
      <c r="D17" s="4"/>
      <c r="E17" s="4"/>
      <c r="F17" s="4"/>
      <c r="G17" s="4"/>
      <c r="H17" s="4"/>
    </row>
    <row r="18" spans="2:10" ht="26.4" x14ac:dyDescent="0.25">
      <c r="B18" s="14" t="s">
        <v>58</v>
      </c>
      <c r="C18" s="6">
        <f>D18*0.98</f>
        <v>39.200000000000003</v>
      </c>
      <c r="D18" s="6">
        <v>40</v>
      </c>
      <c r="E18" s="6">
        <f>D18*1.02</f>
        <v>40.799999999999997</v>
      </c>
      <c r="F18" s="6">
        <f t="shared" ref="F18:H18" si="6">E18*1.02</f>
        <v>41.616</v>
      </c>
      <c r="G18" s="6">
        <f t="shared" si="6"/>
        <v>42.448320000000002</v>
      </c>
      <c r="H18" s="6">
        <f t="shared" si="6"/>
        <v>43.297286400000004</v>
      </c>
      <c r="I18" t="s">
        <v>17</v>
      </c>
      <c r="J18" s="11" t="s">
        <v>59</v>
      </c>
    </row>
    <row r="19" spans="2:10" ht="26.4" x14ac:dyDescent="0.25">
      <c r="B19" s="14" t="s">
        <v>49</v>
      </c>
      <c r="C19" s="4">
        <v>200</v>
      </c>
      <c r="D19" s="4">
        <v>200</v>
      </c>
      <c r="E19" s="4">
        <v>200</v>
      </c>
      <c r="F19" s="4">
        <v>200</v>
      </c>
      <c r="G19" s="4">
        <v>200</v>
      </c>
      <c r="H19" s="4">
        <v>200</v>
      </c>
      <c r="I19" t="s">
        <v>50</v>
      </c>
      <c r="J19" s="11" t="s">
        <v>51</v>
      </c>
    </row>
    <row r="20" spans="2:10" x14ac:dyDescent="0.25">
      <c r="B20" s="14"/>
    </row>
    <row r="21" spans="2:10" x14ac:dyDescent="0.25">
      <c r="B21" s="10" t="s">
        <v>68</v>
      </c>
      <c r="C21" s="4"/>
      <c r="D21" s="4"/>
      <c r="E21" s="4"/>
      <c r="F21" s="4"/>
      <c r="G21" s="4"/>
      <c r="H21" s="4"/>
    </row>
    <row r="22" spans="2:10" x14ac:dyDescent="0.25">
      <c r="B22" s="14" t="s">
        <v>62</v>
      </c>
      <c r="C22" s="4">
        <v>0</v>
      </c>
      <c r="D22" s="4">
        <f>(D15*D18*D19)/1000000000</f>
        <v>14.769636800000001</v>
      </c>
      <c r="E22" s="4">
        <f t="shared" ref="E22:H22" si="7">(E15*E18*E19)/1000000000</f>
        <v>22.757601006719998</v>
      </c>
      <c r="F22" s="4">
        <f t="shared" si="7"/>
        <v>28.970718210109442</v>
      </c>
      <c r="G22" s="4">
        <f t="shared" si="7"/>
        <v>36.138479416991771</v>
      </c>
      <c r="H22" s="4">
        <f t="shared" si="7"/>
        <v>41.882717117945134</v>
      </c>
      <c r="I22" t="s">
        <v>17</v>
      </c>
      <c r="J22" t="s">
        <v>64</v>
      </c>
    </row>
    <row r="23" spans="2:10" x14ac:dyDescent="0.25">
      <c r="B23" s="14" t="s">
        <v>14</v>
      </c>
      <c r="C23" s="8">
        <v>0</v>
      </c>
      <c r="D23" s="12">
        <v>2.5000000000000001E-2</v>
      </c>
      <c r="E23" s="12">
        <v>2.5000000000000001E-2</v>
      </c>
      <c r="F23" s="12">
        <v>2.5000000000000001E-2</v>
      </c>
      <c r="G23" s="12">
        <v>2.5000000000000001E-2</v>
      </c>
      <c r="H23" s="12">
        <v>2.5000000000000001E-2</v>
      </c>
      <c r="I23" t="s">
        <v>13</v>
      </c>
    </row>
    <row r="24" spans="2:10" x14ac:dyDescent="0.25">
      <c r="B24" s="14" t="s">
        <v>65</v>
      </c>
      <c r="C24" s="7">
        <v>0</v>
      </c>
      <c r="D24" s="7">
        <f>D23*D22</f>
        <v>0.36924092000000003</v>
      </c>
      <c r="E24" s="7">
        <f t="shared" ref="E24:H24" si="8">E23*E22</f>
        <v>0.56894002516800002</v>
      </c>
      <c r="F24" s="7">
        <f t="shared" si="8"/>
        <v>0.72426795525273613</v>
      </c>
      <c r="G24" s="7">
        <f t="shared" si="8"/>
        <v>0.90346198542479428</v>
      </c>
      <c r="H24" s="7">
        <f t="shared" si="8"/>
        <v>1.0470679279486284</v>
      </c>
      <c r="I24" t="s">
        <v>17</v>
      </c>
    </row>
    <row r="25" spans="2:10" x14ac:dyDescent="0.25">
      <c r="B25" s="14"/>
      <c r="C25" s="7"/>
      <c r="D25" s="7"/>
      <c r="E25" s="7"/>
      <c r="F25" s="7"/>
      <c r="G25" s="7"/>
      <c r="H25" s="7"/>
    </row>
    <row r="26" spans="2:10" x14ac:dyDescent="0.25">
      <c r="B26" s="14" t="s">
        <v>52</v>
      </c>
      <c r="C26" s="8">
        <v>0</v>
      </c>
      <c r="D26" s="8">
        <v>0.01</v>
      </c>
      <c r="E26" s="8">
        <v>0.01</v>
      </c>
      <c r="F26" s="8">
        <v>0.01</v>
      </c>
      <c r="G26" s="8">
        <v>0.01</v>
      </c>
      <c r="H26" s="8">
        <v>0.01</v>
      </c>
      <c r="I26" t="s">
        <v>13</v>
      </c>
    </row>
    <row r="27" spans="2:10" x14ac:dyDescent="0.25">
      <c r="B27" s="14" t="s">
        <v>53</v>
      </c>
      <c r="C27" s="7">
        <v>0</v>
      </c>
      <c r="D27" s="7">
        <f>D26*D22</f>
        <v>0.14769636800000002</v>
      </c>
      <c r="E27" s="7">
        <f>E26*E22</f>
        <v>0.22757601006719999</v>
      </c>
      <c r="F27" s="7">
        <f>F26*F22</f>
        <v>0.28970718210109442</v>
      </c>
      <c r="G27" s="7">
        <f>G26*G22</f>
        <v>0.3613847941699177</v>
      </c>
      <c r="H27" s="7">
        <f>H26*H22</f>
        <v>0.41882717117945134</v>
      </c>
      <c r="I27" t="s">
        <v>17</v>
      </c>
    </row>
    <row r="28" spans="2:10" x14ac:dyDescent="0.25">
      <c r="B28" s="14"/>
      <c r="C28" s="7"/>
      <c r="D28" s="7"/>
      <c r="E28" s="7"/>
      <c r="F28" s="7"/>
      <c r="G28" s="7"/>
      <c r="H28" s="7"/>
    </row>
    <row r="29" spans="2:10" x14ac:dyDescent="0.25">
      <c r="B29" s="10" t="s">
        <v>69</v>
      </c>
      <c r="C29" s="4"/>
      <c r="D29" s="4"/>
      <c r="E29" s="4"/>
      <c r="F29" s="4"/>
      <c r="G29" s="4"/>
      <c r="H29" s="4"/>
    </row>
    <row r="30" spans="2:10" x14ac:dyDescent="0.25">
      <c r="B30" s="14" t="s">
        <v>16</v>
      </c>
      <c r="C30" s="8">
        <v>0</v>
      </c>
      <c r="D30" s="8">
        <v>0.01</v>
      </c>
      <c r="E30" s="8">
        <v>0.01</v>
      </c>
      <c r="F30" s="8">
        <v>0.01</v>
      </c>
      <c r="G30" s="8">
        <v>0.01</v>
      </c>
      <c r="H30" s="8">
        <v>0.01</v>
      </c>
      <c r="I30" t="s">
        <v>13</v>
      </c>
    </row>
    <row r="31" spans="2:10" x14ac:dyDescent="0.25">
      <c r="B31" s="14" t="s">
        <v>79</v>
      </c>
      <c r="C31" s="7">
        <v>0</v>
      </c>
      <c r="D31" s="7">
        <f>D30*D22</f>
        <v>0.14769636800000002</v>
      </c>
      <c r="E31" s="7">
        <f>E30*E22</f>
        <v>0.22757601006719999</v>
      </c>
      <c r="F31" s="7">
        <f>F30*F22</f>
        <v>0.28970718210109442</v>
      </c>
      <c r="G31" s="7">
        <f>G30*G22</f>
        <v>0.3613847941699177</v>
      </c>
      <c r="H31" s="7">
        <f>H30*H22</f>
        <v>0.41882717117945134</v>
      </c>
      <c r="I31" t="s">
        <v>17</v>
      </c>
    </row>
    <row r="32" spans="2:10" x14ac:dyDescent="0.25">
      <c r="B32" s="14"/>
      <c r="C32" s="7"/>
      <c r="D32" s="7"/>
      <c r="E32" s="7"/>
      <c r="F32" s="7"/>
      <c r="G32" s="7"/>
      <c r="H32" s="7"/>
    </row>
    <row r="33" spans="2:10" x14ac:dyDescent="0.25">
      <c r="B33" s="14" t="s">
        <v>54</v>
      </c>
      <c r="C33" s="8">
        <v>0</v>
      </c>
      <c r="D33" s="12">
        <v>5.0000000000000001E-3</v>
      </c>
      <c r="E33" s="12">
        <v>5.0000000000000001E-3</v>
      </c>
      <c r="F33" s="12">
        <v>5.0000000000000001E-3</v>
      </c>
      <c r="G33" s="12">
        <v>5.0000000000000001E-3</v>
      </c>
      <c r="H33" s="12">
        <v>5.0000000000000001E-3</v>
      </c>
      <c r="I33" t="s">
        <v>13</v>
      </c>
    </row>
    <row r="34" spans="2:10" x14ac:dyDescent="0.25">
      <c r="B34" s="14" t="s">
        <v>55</v>
      </c>
      <c r="C34" s="7">
        <f t="shared" ref="C34:H34" si="9">C33*C22</f>
        <v>0</v>
      </c>
      <c r="D34" s="7">
        <f t="shared" si="9"/>
        <v>7.3848184000000011E-2</v>
      </c>
      <c r="E34" s="7">
        <f t="shared" si="9"/>
        <v>0.1137880050336</v>
      </c>
      <c r="F34" s="7">
        <f t="shared" si="9"/>
        <v>0.14485359105054721</v>
      </c>
      <c r="G34" s="7">
        <f t="shared" si="9"/>
        <v>0.18069239708495885</v>
      </c>
      <c r="H34" s="7">
        <f t="shared" si="9"/>
        <v>0.20941358558972567</v>
      </c>
      <c r="I34" t="s">
        <v>17</v>
      </c>
    </row>
    <row r="35" spans="2:10" x14ac:dyDescent="0.25">
      <c r="C35" s="4"/>
      <c r="D35" s="4"/>
      <c r="E35" s="4"/>
      <c r="F35" s="4"/>
      <c r="G35" s="4"/>
      <c r="H35" s="4"/>
    </row>
    <row r="36" spans="2:10" ht="38.4" customHeight="1" x14ac:dyDescent="0.25">
      <c r="B36" s="14" t="s">
        <v>20</v>
      </c>
      <c r="C36" s="4">
        <v>0</v>
      </c>
      <c r="D36" s="8">
        <v>0.7</v>
      </c>
      <c r="E36" s="8">
        <f>D36/2</f>
        <v>0.35</v>
      </c>
      <c r="F36" s="8">
        <f t="shared" ref="F36:H36" si="10">E36/2</f>
        <v>0.17499999999999999</v>
      </c>
      <c r="G36" s="8">
        <f t="shared" si="10"/>
        <v>8.7499999999999994E-2</v>
      </c>
      <c r="H36" s="8">
        <f t="shared" si="10"/>
        <v>4.3749999999999997E-2</v>
      </c>
      <c r="I36" t="s">
        <v>56</v>
      </c>
      <c r="J36" s="20" t="s">
        <v>89</v>
      </c>
    </row>
    <row r="37" spans="2:10" x14ac:dyDescent="0.25">
      <c r="B37" s="14" t="s">
        <v>80</v>
      </c>
      <c r="C37" s="7">
        <v>0</v>
      </c>
      <c r="D37" s="7">
        <f>D36*D24</f>
        <v>0.25846864400000003</v>
      </c>
      <c r="E37" s="7">
        <f>E36*E24</f>
        <v>0.1991290088088</v>
      </c>
      <c r="F37" s="7">
        <f>F36*F24</f>
        <v>0.12674689216922883</v>
      </c>
      <c r="G37" s="7">
        <f>G36*G24</f>
        <v>7.9052923724669488E-2</v>
      </c>
      <c r="H37" s="7">
        <f>H36*H24</f>
        <v>4.580922184775249E-2</v>
      </c>
      <c r="I37" t="s">
        <v>17</v>
      </c>
      <c r="J37" s="20"/>
    </row>
    <row r="38" spans="2:10" x14ac:dyDescent="0.25">
      <c r="B38" s="14"/>
      <c r="C38" s="4"/>
      <c r="D38" s="4"/>
      <c r="E38" s="4"/>
      <c r="F38" s="4"/>
      <c r="G38" s="4"/>
      <c r="H38" s="4"/>
      <c r="J38" s="18"/>
    </row>
    <row r="39" spans="2:10" x14ac:dyDescent="0.25">
      <c r="B39" s="14" t="s">
        <v>24</v>
      </c>
      <c r="C39" s="8">
        <v>0.1</v>
      </c>
      <c r="D39" s="8">
        <f>C39-0.01</f>
        <v>9.0000000000000011E-2</v>
      </c>
      <c r="E39" s="8">
        <f t="shared" ref="E39:H39" si="11">D39-0.01</f>
        <v>8.0000000000000016E-2</v>
      </c>
      <c r="F39" s="8">
        <f t="shared" si="11"/>
        <v>7.0000000000000021E-2</v>
      </c>
      <c r="G39" s="8">
        <f t="shared" si="11"/>
        <v>6.0000000000000019E-2</v>
      </c>
      <c r="H39" s="8">
        <f t="shared" si="11"/>
        <v>5.0000000000000017E-2</v>
      </c>
      <c r="I39" t="s">
        <v>23</v>
      </c>
      <c r="J39" s="18"/>
    </row>
    <row r="40" spans="2:10" x14ac:dyDescent="0.25">
      <c r="B40" s="14" t="s">
        <v>30</v>
      </c>
      <c r="C40" s="7">
        <f>C39*C30</f>
        <v>0</v>
      </c>
      <c r="D40" s="7">
        <f>D39*D24</f>
        <v>3.3231682800000009E-2</v>
      </c>
      <c r="E40" s="7">
        <f>E39*E24</f>
        <v>4.5515202013440011E-2</v>
      </c>
      <c r="F40" s="7">
        <f>F39*F24</f>
        <v>5.0698756867691541E-2</v>
      </c>
      <c r="G40" s="7">
        <f>G39*G24</f>
        <v>5.420771912548767E-2</v>
      </c>
      <c r="H40" s="7">
        <f>H39*H24</f>
        <v>5.2353396397431438E-2</v>
      </c>
      <c r="I40" t="s">
        <v>17</v>
      </c>
      <c r="J40" s="18"/>
    </row>
    <row r="41" spans="2:10" x14ac:dyDescent="0.25">
      <c r="B41" s="14"/>
      <c r="C41" s="4"/>
      <c r="D41" s="4"/>
      <c r="E41" s="4"/>
      <c r="F41" s="4"/>
      <c r="G41" s="4"/>
      <c r="H41" s="4"/>
      <c r="J41" s="18"/>
    </row>
    <row r="42" spans="2:10" ht="30" customHeight="1" x14ac:dyDescent="0.25">
      <c r="B42" s="14" t="s">
        <v>25</v>
      </c>
      <c r="C42" s="4">
        <v>0</v>
      </c>
      <c r="D42" s="8">
        <v>0.05</v>
      </c>
      <c r="E42" s="8">
        <v>0.05</v>
      </c>
      <c r="F42" s="8">
        <v>0.05</v>
      </c>
      <c r="G42" s="8">
        <v>0.05</v>
      </c>
      <c r="H42" s="8">
        <v>0.05</v>
      </c>
      <c r="I42" t="s">
        <v>13</v>
      </c>
      <c r="J42" s="20" t="s">
        <v>90</v>
      </c>
    </row>
    <row r="43" spans="2:10" x14ac:dyDescent="0.25">
      <c r="B43" s="14" t="s">
        <v>31</v>
      </c>
      <c r="C43" s="4">
        <v>0</v>
      </c>
      <c r="D43" s="7">
        <f>(D42+D27)*D24</f>
        <v>7.2997588800978563E-2</v>
      </c>
      <c r="E43" s="7">
        <f t="shared" ref="E43:H43" si="12">(E42+E27)*E24</f>
        <v>0.15792410215366579</v>
      </c>
      <c r="F43" s="7">
        <f t="shared" si="12"/>
        <v>0.24603902616502854</v>
      </c>
      <c r="G43" s="7">
        <f t="shared" si="12"/>
        <v>0.37167052291432418</v>
      </c>
      <c r="H43" s="7">
        <f t="shared" si="12"/>
        <v>0.49089389469288497</v>
      </c>
      <c r="I43" t="s">
        <v>17</v>
      </c>
      <c r="J43" s="20"/>
    </row>
    <row r="44" spans="2:10" x14ac:dyDescent="0.25">
      <c r="B44" s="14"/>
      <c r="C44" s="4"/>
      <c r="D44" s="4"/>
      <c r="E44" s="4"/>
      <c r="F44" s="4"/>
      <c r="G44" s="4"/>
      <c r="H44" s="4"/>
    </row>
    <row r="45" spans="2:10" x14ac:dyDescent="0.25">
      <c r="B45" s="10" t="s">
        <v>77</v>
      </c>
    </row>
    <row r="46" spans="2:10" ht="26.4" x14ac:dyDescent="0.25">
      <c r="B46" s="14" t="s">
        <v>62</v>
      </c>
      <c r="C46" s="7">
        <f>(C9*'Product A'!C7*'Product A'!C8)/1000000000</f>
        <v>25.386137999999999</v>
      </c>
      <c r="D46" s="7">
        <f>(D9*'Product A'!D7*'Product A'!D8)/1000000000</f>
        <v>33.623337528</v>
      </c>
      <c r="E46" s="7">
        <f>(E9*'Product A'!E7*'Product A'!E8)/1000000000</f>
        <v>42.164241609888009</v>
      </c>
      <c r="F46" s="7">
        <f>(F9*'Product A'!F7*'Product A'!F8)/1000000000</f>
        <v>53.347437084958848</v>
      </c>
      <c r="G46" s="7">
        <f>(G9*'Product A'!G7*'Product A'!G8)/1000000000</f>
        <v>62.00687484613465</v>
      </c>
      <c r="H46" s="7">
        <f>(H9*'Product A'!H7*'Product A'!H8)/1000000000</f>
        <v>69.436476904269227</v>
      </c>
      <c r="I46" t="s">
        <v>15</v>
      </c>
      <c r="J46" s="11" t="s">
        <v>91</v>
      </c>
    </row>
    <row r="47" spans="2:10" x14ac:dyDescent="0.25">
      <c r="B47" s="14" t="s">
        <v>14</v>
      </c>
      <c r="C47" s="8">
        <v>0.02</v>
      </c>
      <c r="D47" s="8">
        <v>0.02</v>
      </c>
      <c r="E47" s="8">
        <v>0.02</v>
      </c>
      <c r="F47" s="8">
        <v>0.02</v>
      </c>
      <c r="G47" s="8">
        <v>0.02</v>
      </c>
      <c r="H47" s="8">
        <v>0.02</v>
      </c>
      <c r="I47" t="s">
        <v>13</v>
      </c>
    </row>
    <row r="48" spans="2:10" x14ac:dyDescent="0.25">
      <c r="B48" s="14" t="s">
        <v>71</v>
      </c>
      <c r="C48" s="7">
        <f>C47*C46</f>
        <v>0.50772275999999994</v>
      </c>
      <c r="D48" s="7">
        <f t="shared" ref="D48:H48" si="13">D47*D46</f>
        <v>0.67246675056000005</v>
      </c>
      <c r="E48" s="7">
        <f t="shared" si="13"/>
        <v>0.84328483219776018</v>
      </c>
      <c r="F48" s="7">
        <f t="shared" si="13"/>
        <v>1.066948741699177</v>
      </c>
      <c r="G48" s="7">
        <f t="shared" si="13"/>
        <v>1.240137496922693</v>
      </c>
      <c r="H48" s="7">
        <f t="shared" si="13"/>
        <v>1.3887295380853846</v>
      </c>
      <c r="I48" t="s">
        <v>15</v>
      </c>
    </row>
    <row r="49" spans="2:10" x14ac:dyDescent="0.25">
      <c r="C49" s="4"/>
      <c r="D49" s="4"/>
      <c r="E49" s="4"/>
      <c r="F49" s="4"/>
      <c r="G49" s="4"/>
      <c r="H49" s="4"/>
    </row>
    <row r="50" spans="2:10" x14ac:dyDescent="0.25">
      <c r="B50" s="10" t="s">
        <v>78</v>
      </c>
    </row>
    <row r="51" spans="2:10" x14ac:dyDescent="0.25">
      <c r="B51" s="14" t="s">
        <v>16</v>
      </c>
      <c r="C51" s="8">
        <v>0.01</v>
      </c>
      <c r="D51" s="8">
        <v>0.01</v>
      </c>
      <c r="E51" s="8">
        <v>0.01</v>
      </c>
      <c r="F51" s="8">
        <v>0.01</v>
      </c>
      <c r="G51" s="8">
        <v>0.01</v>
      </c>
      <c r="H51" s="8">
        <v>0.01</v>
      </c>
      <c r="I51" t="s">
        <v>13</v>
      </c>
    </row>
    <row r="52" spans="2:10" x14ac:dyDescent="0.25">
      <c r="B52" s="14" t="s">
        <v>32</v>
      </c>
      <c r="C52" s="7">
        <f t="shared" ref="C52:H52" si="14">C51*C46</f>
        <v>0.25386137999999997</v>
      </c>
      <c r="D52" s="7">
        <f t="shared" si="14"/>
        <v>0.33623337528000002</v>
      </c>
      <c r="E52" s="7">
        <f t="shared" si="14"/>
        <v>0.42164241609888009</v>
      </c>
      <c r="F52" s="7">
        <f t="shared" si="14"/>
        <v>0.53347437084958849</v>
      </c>
      <c r="G52" s="7">
        <f t="shared" si="14"/>
        <v>0.62006874846134652</v>
      </c>
      <c r="H52" s="7">
        <f t="shared" si="14"/>
        <v>0.69436476904269229</v>
      </c>
      <c r="I52" t="s">
        <v>17</v>
      </c>
    </row>
    <row r="53" spans="2:10" x14ac:dyDescent="0.25">
      <c r="B53" s="14"/>
      <c r="C53" s="7"/>
      <c r="D53" s="7"/>
      <c r="E53" s="7"/>
      <c r="F53" s="7"/>
      <c r="G53" s="7"/>
      <c r="H53" s="7"/>
    </row>
    <row r="54" spans="2:10" ht="28.8" customHeight="1" x14ac:dyDescent="0.25">
      <c r="B54" s="14" t="s">
        <v>20</v>
      </c>
      <c r="C54" s="8">
        <v>0.5</v>
      </c>
      <c r="D54" s="8">
        <f>C54-0.05</f>
        <v>0.45</v>
      </c>
      <c r="E54" s="8">
        <f t="shared" ref="E54:H54" si="15">D54-0.05</f>
        <v>0.4</v>
      </c>
      <c r="F54" s="8">
        <f t="shared" si="15"/>
        <v>0.35000000000000003</v>
      </c>
      <c r="G54" s="8">
        <f t="shared" si="15"/>
        <v>0.30000000000000004</v>
      </c>
      <c r="H54" s="8">
        <f t="shared" si="15"/>
        <v>0.25000000000000006</v>
      </c>
      <c r="I54" t="s">
        <v>19</v>
      </c>
    </row>
    <row r="55" spans="2:10" x14ac:dyDescent="0.25">
      <c r="B55" s="14" t="s">
        <v>29</v>
      </c>
      <c r="C55" s="7">
        <f t="shared" ref="C55:H55" si="16">C54*C48</f>
        <v>0.25386137999999997</v>
      </c>
      <c r="D55" s="7">
        <f t="shared" si="16"/>
        <v>0.30261003775200002</v>
      </c>
      <c r="E55" s="7">
        <f t="shared" si="16"/>
        <v>0.33731393287910411</v>
      </c>
      <c r="F55" s="7">
        <f t="shared" si="16"/>
        <v>0.37343205959471198</v>
      </c>
      <c r="G55" s="7">
        <f t="shared" si="16"/>
        <v>0.37204124907680797</v>
      </c>
      <c r="H55" s="7">
        <f t="shared" si="16"/>
        <v>0.3471823845213462</v>
      </c>
      <c r="I55" t="s">
        <v>17</v>
      </c>
    </row>
    <row r="56" spans="2:10" x14ac:dyDescent="0.25">
      <c r="B56" s="14"/>
      <c r="C56" s="7"/>
      <c r="D56" s="7"/>
      <c r="E56" s="7"/>
      <c r="F56" s="7"/>
      <c r="G56" s="7"/>
      <c r="H56" s="7"/>
    </row>
    <row r="57" spans="2:10" x14ac:dyDescent="0.25">
      <c r="B57" s="14" t="s">
        <v>24</v>
      </c>
      <c r="C57" s="8">
        <v>0.1</v>
      </c>
      <c r="D57" s="8">
        <f>C57-0.01</f>
        <v>9.0000000000000011E-2</v>
      </c>
      <c r="E57" s="8">
        <f t="shared" ref="E57:H57" si="17">D57-0.01</f>
        <v>8.0000000000000016E-2</v>
      </c>
      <c r="F57" s="8">
        <f t="shared" si="17"/>
        <v>7.0000000000000021E-2</v>
      </c>
      <c r="G57" s="8">
        <f t="shared" si="17"/>
        <v>6.0000000000000019E-2</v>
      </c>
      <c r="H57" s="8">
        <f t="shared" si="17"/>
        <v>5.0000000000000017E-2</v>
      </c>
      <c r="I57" t="s">
        <v>23</v>
      </c>
    </row>
    <row r="58" spans="2:10" x14ac:dyDescent="0.25">
      <c r="B58" s="14" t="s">
        <v>30</v>
      </c>
      <c r="C58" s="7">
        <f>C57*C48</f>
        <v>5.0772275999999998E-2</v>
      </c>
      <c r="D58" s="7">
        <f t="shared" ref="D58:H58" si="18">D57*D48</f>
        <v>6.0522007550400013E-2</v>
      </c>
      <c r="E58" s="7">
        <f t="shared" si="18"/>
        <v>6.7462786575820832E-2</v>
      </c>
      <c r="F58" s="7">
        <f t="shared" si="18"/>
        <v>7.4686411918942416E-2</v>
      </c>
      <c r="G58" s="7">
        <f t="shared" si="18"/>
        <v>7.4408249815361607E-2</v>
      </c>
      <c r="H58" s="7">
        <f t="shared" si="18"/>
        <v>6.9436476904269254E-2</v>
      </c>
      <c r="I58" t="s">
        <v>17</v>
      </c>
    </row>
    <row r="59" spans="2:10" x14ac:dyDescent="0.25">
      <c r="B59" s="14"/>
      <c r="C59" s="7"/>
      <c r="D59" s="7"/>
      <c r="E59" s="7"/>
      <c r="F59" s="7"/>
      <c r="G59" s="7"/>
      <c r="H59" s="7"/>
    </row>
    <row r="60" spans="2:10" x14ac:dyDescent="0.25">
      <c r="B60" s="14" t="s">
        <v>25</v>
      </c>
      <c r="C60" s="8">
        <v>0.05</v>
      </c>
      <c r="D60" s="8">
        <v>0.05</v>
      </c>
      <c r="E60" s="8">
        <v>0.05</v>
      </c>
      <c r="F60" s="8">
        <v>0.05</v>
      </c>
      <c r="G60" s="8">
        <v>0.05</v>
      </c>
      <c r="H60" s="8">
        <v>0.05</v>
      </c>
      <c r="I60" t="s">
        <v>13</v>
      </c>
    </row>
    <row r="61" spans="2:10" x14ac:dyDescent="0.25">
      <c r="B61" s="14" t="s">
        <v>31</v>
      </c>
      <c r="C61" s="7">
        <f>C60*C48</f>
        <v>2.5386137999999999E-2</v>
      </c>
      <c r="D61" s="7">
        <f t="shared" ref="D61:H61" si="19">D60*D48</f>
        <v>3.3623337528000001E-2</v>
      </c>
      <c r="E61" s="7">
        <f t="shared" si="19"/>
        <v>4.2164241609888013E-2</v>
      </c>
      <c r="F61" s="7">
        <f t="shared" si="19"/>
        <v>5.334743708495885E-2</v>
      </c>
      <c r="G61" s="7">
        <f t="shared" si="19"/>
        <v>6.2006874846134652E-2</v>
      </c>
      <c r="H61" s="7">
        <f t="shared" si="19"/>
        <v>6.9436476904269226E-2</v>
      </c>
      <c r="I61" t="s">
        <v>17</v>
      </c>
    </row>
    <row r="63" spans="2:10" x14ac:dyDescent="0.25">
      <c r="B63" s="10" t="s">
        <v>70</v>
      </c>
      <c r="C63" s="7"/>
      <c r="D63" s="7"/>
      <c r="E63" s="7"/>
      <c r="F63" s="7"/>
      <c r="G63" s="7"/>
      <c r="H63" s="7"/>
      <c r="J63" s="11"/>
    </row>
    <row r="64" spans="2:10" x14ac:dyDescent="0.25">
      <c r="B64" s="14" t="s">
        <v>72</v>
      </c>
      <c r="C64" s="19">
        <f>C48-C52-C55-C58-C61-0.5</f>
        <v>-0.57615841400000001</v>
      </c>
      <c r="D64" s="19">
        <f>D48-D52-D55-D58-D61</f>
        <v>-6.0522007550400006E-2</v>
      </c>
      <c r="E64" s="19">
        <f t="shared" ref="E64:H64" si="20">E48-E52-E55-E58-E61</f>
        <v>-2.5298544965932861E-2</v>
      </c>
      <c r="F64" s="19">
        <f t="shared" si="20"/>
        <v>3.2008462250975235E-2</v>
      </c>
      <c r="G64" s="19">
        <f t="shared" si="20"/>
        <v>0.11161237472304231</v>
      </c>
      <c r="H64" s="19">
        <f t="shared" si="20"/>
        <v>0.20830943071280761</v>
      </c>
      <c r="I64" t="s">
        <v>73</v>
      </c>
      <c r="J64" s="11" t="s">
        <v>74</v>
      </c>
    </row>
    <row r="65" spans="2:10" x14ac:dyDescent="0.25">
      <c r="B65" s="14" t="s">
        <v>60</v>
      </c>
      <c r="C65" s="8">
        <f>C64/C48</f>
        <v>-1.1347894153888238</v>
      </c>
      <c r="D65" s="8">
        <f t="shared" ref="D65:H65" si="21">D64/D48</f>
        <v>-0.09</v>
      </c>
      <c r="E65" s="8">
        <f t="shared" si="21"/>
        <v>-3.0000000000000065E-2</v>
      </c>
      <c r="F65" s="8">
        <f t="shared" si="21"/>
        <v>2.999999999999993E-2</v>
      </c>
      <c r="G65" s="8">
        <f t="shared" si="21"/>
        <v>8.9999999999999941E-2</v>
      </c>
      <c r="H65" s="8">
        <f t="shared" si="21"/>
        <v>0.14999999999999994</v>
      </c>
      <c r="I65" t="s">
        <v>73</v>
      </c>
      <c r="J65" s="11" t="s">
        <v>74</v>
      </c>
    </row>
    <row r="66" spans="2:10" x14ac:dyDescent="0.25">
      <c r="B66" s="14" t="s">
        <v>76</v>
      </c>
      <c r="C66" s="8">
        <f>'Product A'!C33</f>
        <v>0.57847627630480891</v>
      </c>
      <c r="D66" s="8">
        <f>(D48-C48)/C48</f>
        <v>0.3244762763048088</v>
      </c>
      <c r="E66" s="8">
        <f t="shared" ref="E66:H66" si="22">(E48-D48)/D48</f>
        <v>0.25401714136127995</v>
      </c>
      <c r="F66" s="8">
        <f t="shared" si="22"/>
        <v>0.26522937560551901</v>
      </c>
      <c r="G66" s="8">
        <f t="shared" si="22"/>
        <v>0.16232153284861939</v>
      </c>
      <c r="H66" s="8">
        <f t="shared" si="22"/>
        <v>0.1198190051759675</v>
      </c>
      <c r="I66" t="s">
        <v>73</v>
      </c>
      <c r="J66" s="11" t="s">
        <v>81</v>
      </c>
    </row>
    <row r="68" spans="2:10" x14ac:dyDescent="0.25">
      <c r="B68" s="14" t="s">
        <v>57</v>
      </c>
      <c r="C68" s="19">
        <v>0</v>
      </c>
      <c r="D68" s="19">
        <f>D24+D27-D31-D34-D37-D40-D43</f>
        <v>-6.9305179600978553E-2</v>
      </c>
      <c r="E68" s="19">
        <f>E24+E27-E31-E34-E37-E40-E43</f>
        <v>5.2583707158494225E-2</v>
      </c>
      <c r="F68" s="19">
        <f>F24+F27-F31-F34-F37-F40-F43</f>
        <v>0.15592968900024012</v>
      </c>
      <c r="G68" s="19">
        <f>G24+G27-G31-G34-G37-G40-G43</f>
        <v>0.21783842257535407</v>
      </c>
      <c r="H68" s="19">
        <f>H24+H27-H31-H34-H37-H40-H43</f>
        <v>0.2485978294208338</v>
      </c>
      <c r="I68" t="s">
        <v>17</v>
      </c>
    </row>
    <row r="69" spans="2:10" x14ac:dyDescent="0.25">
      <c r="B69" s="14" t="s">
        <v>61</v>
      </c>
      <c r="C69" s="8">
        <v>0</v>
      </c>
      <c r="D69" s="8">
        <f>D68/(D24+D27)</f>
        <v>-0.13406883428571426</v>
      </c>
      <c r="E69" s="8">
        <f>E68/(E24+E27)</f>
        <v>6.6017135666285739E-2</v>
      </c>
      <c r="F69" s="8">
        <f>F68/(F24+F27)</f>
        <v>0.1537805842135041</v>
      </c>
      <c r="G69" s="8">
        <f>G68/(G24+G27)</f>
        <v>0.17222514702148733</v>
      </c>
      <c r="H69" s="8">
        <f>H68/(H24+H27)</f>
        <v>0.16958773487182049</v>
      </c>
      <c r="I69" t="s">
        <v>17</v>
      </c>
    </row>
    <row r="70" spans="2:10" x14ac:dyDescent="0.25">
      <c r="B70" s="14" t="s">
        <v>66</v>
      </c>
      <c r="C70" s="8">
        <v>0</v>
      </c>
      <c r="D70" s="8">
        <v>0</v>
      </c>
      <c r="E70" s="8">
        <f>((E24+E27)-(D24+D27))/(D24+D27)</f>
        <v>0.54083687465625407</v>
      </c>
      <c r="F70" s="8">
        <f>((F24+F27)-(E24+E27))/(E24+E27)</f>
        <v>0.27301283652678504</v>
      </c>
      <c r="G70" s="8">
        <f>((G24+G27)-(F24+F27))/(F24+F27)</f>
        <v>0.24741399764059382</v>
      </c>
      <c r="H70" s="8">
        <f>((H24+H27)-(G24+G27))/(G24+G27)</f>
        <v>0.1589507304574776</v>
      </c>
      <c r="I70" t="s">
        <v>17</v>
      </c>
      <c r="J70" t="s">
        <v>67</v>
      </c>
    </row>
    <row r="71" spans="2:10" x14ac:dyDescent="0.25">
      <c r="B71" s="14"/>
      <c r="C71" s="8"/>
      <c r="D71" s="8"/>
      <c r="E71" s="8"/>
      <c r="F71" s="8"/>
      <c r="G71" s="8"/>
      <c r="H71" s="8"/>
    </row>
    <row r="72" spans="2:10" x14ac:dyDescent="0.25">
      <c r="B72" s="14" t="s">
        <v>83</v>
      </c>
      <c r="C72" s="19">
        <f>C68+C64</f>
        <v>-0.57615841400000001</v>
      </c>
      <c r="D72" s="19">
        <f t="shared" ref="D72:H72" si="23">D68+D64</f>
        <v>-0.12982718715137856</v>
      </c>
      <c r="E72" s="19">
        <f t="shared" si="23"/>
        <v>2.7285162192561364E-2</v>
      </c>
      <c r="F72" s="19">
        <f t="shared" si="23"/>
        <v>0.18793815125121535</v>
      </c>
      <c r="G72" s="19">
        <f t="shared" si="23"/>
        <v>0.32945079729839638</v>
      </c>
      <c r="H72" s="19">
        <f t="shared" si="23"/>
        <v>0.45690726013364141</v>
      </c>
      <c r="I72" t="s">
        <v>17</v>
      </c>
    </row>
    <row r="73" spans="2:10" x14ac:dyDescent="0.25">
      <c r="B73" s="14" t="s">
        <v>84</v>
      </c>
      <c r="C73" s="8">
        <f>C72/(C24+C27+C48)</f>
        <v>-1.1347894153888238</v>
      </c>
      <c r="D73" s="8">
        <f t="shared" ref="D73:H73" si="24">D72/(D24+D27+D48)</f>
        <v>-0.10915314135687572</v>
      </c>
      <c r="E73" s="8">
        <f t="shared" si="24"/>
        <v>1.6639314403629476E-2</v>
      </c>
      <c r="F73" s="8">
        <f t="shared" si="24"/>
        <v>9.0314765063267355E-2</v>
      </c>
      <c r="G73" s="8">
        <f t="shared" si="24"/>
        <v>0.13151810986870574</v>
      </c>
      <c r="H73" s="8">
        <f t="shared" si="24"/>
        <v>0.1600586130229894</v>
      </c>
      <c r="I73" t="s">
        <v>17</v>
      </c>
    </row>
    <row r="74" spans="2:10" ht="26.4" x14ac:dyDescent="0.25">
      <c r="B74" s="14" t="s">
        <v>85</v>
      </c>
      <c r="C74" s="8">
        <f>C66</f>
        <v>0.57847627630480891</v>
      </c>
      <c r="D74" s="8">
        <f>D66</f>
        <v>0.3244762763048088</v>
      </c>
      <c r="E74" s="8">
        <f>((E24+E27+E48)-(D24+D27+D48))/(D24+D27+D48)</f>
        <v>0.37867437327541875</v>
      </c>
      <c r="F74" s="8">
        <f t="shared" ref="F74:H74" si="25">((F24+F27+F48)-(E24+E27+E48))/(E24+E27+E48)</f>
        <v>0.26901010993524288</v>
      </c>
      <c r="G74" s="8">
        <f t="shared" si="25"/>
        <v>0.20378467551507931</v>
      </c>
      <c r="H74" s="8">
        <f t="shared" si="25"/>
        <v>0.13957786640567374</v>
      </c>
      <c r="I74" t="s">
        <v>73</v>
      </c>
      <c r="J74" s="11" t="s">
        <v>86</v>
      </c>
    </row>
    <row r="75" spans="2:10" x14ac:dyDescent="0.25">
      <c r="C75" s="8"/>
      <c r="D75" s="8"/>
      <c r="E75" s="8"/>
      <c r="F75" s="8"/>
      <c r="G75" s="8"/>
      <c r="H75" s="8"/>
    </row>
    <row r="76" spans="2:10" x14ac:dyDescent="0.25">
      <c r="B76" s="10" t="s">
        <v>35</v>
      </c>
      <c r="C76" s="8"/>
      <c r="D76" s="8"/>
      <c r="E76" s="8"/>
      <c r="F76" s="8"/>
      <c r="G76" s="8"/>
      <c r="H76" s="8"/>
    </row>
    <row r="77" spans="2:10" x14ac:dyDescent="0.25">
      <c r="B77" s="14" t="s">
        <v>82</v>
      </c>
      <c r="C77" s="8">
        <f>C74+C73</f>
        <v>-0.55631313908401492</v>
      </c>
      <c r="D77" s="8">
        <f t="shared" ref="D77:H77" si="26">D74+D73</f>
        <v>0.21532313494793309</v>
      </c>
      <c r="E77" s="8">
        <f t="shared" si="26"/>
        <v>0.39531368767904823</v>
      </c>
      <c r="F77" s="8">
        <f t="shared" si="26"/>
        <v>0.35932487499851024</v>
      </c>
      <c r="G77" s="8">
        <f t="shared" si="26"/>
        <v>0.33530278538378505</v>
      </c>
      <c r="H77" s="8">
        <f t="shared" si="26"/>
        <v>0.29963647942866312</v>
      </c>
    </row>
    <row r="78" spans="2:10" x14ac:dyDescent="0.25">
      <c r="C78" s="8"/>
      <c r="D78" s="8"/>
      <c r="E78" s="8"/>
      <c r="F78" s="8"/>
      <c r="G78" s="8"/>
      <c r="H78" s="8"/>
    </row>
    <row r="79" spans="2:10" x14ac:dyDescent="0.25">
      <c r="C79" s="8"/>
      <c r="D79" s="8"/>
      <c r="E79" s="8"/>
      <c r="F79" s="8"/>
      <c r="G79" s="8"/>
      <c r="H79" s="8"/>
    </row>
    <row r="80" spans="2:10" x14ac:dyDescent="0.25">
      <c r="B80" s="14"/>
      <c r="C80" s="8"/>
      <c r="D80" s="8"/>
      <c r="E80" s="8"/>
      <c r="F80" s="8"/>
      <c r="G80" s="8"/>
      <c r="H80" s="8"/>
      <c r="J80" s="11"/>
    </row>
    <row r="81" spans="2:8" x14ac:dyDescent="0.25">
      <c r="C81" s="8"/>
      <c r="D81" s="8"/>
      <c r="E81" s="8"/>
      <c r="F81" s="8"/>
      <c r="G81" s="8"/>
      <c r="H81" s="8"/>
    </row>
    <row r="82" spans="2:8" x14ac:dyDescent="0.25">
      <c r="C82" s="8"/>
      <c r="D82" s="8"/>
      <c r="E82" s="8"/>
      <c r="F82" s="8"/>
      <c r="G82" s="8"/>
      <c r="H82" s="8"/>
    </row>
    <row r="83" spans="2:8" x14ac:dyDescent="0.25">
      <c r="C83" s="8"/>
      <c r="D83" s="8"/>
      <c r="E83" s="8"/>
      <c r="F83" s="8"/>
      <c r="G83" s="8"/>
      <c r="H83" s="8"/>
    </row>
    <row r="84" spans="2:8" x14ac:dyDescent="0.25">
      <c r="C84" s="19"/>
      <c r="D84" s="19"/>
      <c r="E84" s="19"/>
      <c r="F84" s="19"/>
      <c r="G84" s="19"/>
      <c r="H84" s="19"/>
    </row>
    <row r="85" spans="2:8" x14ac:dyDescent="0.25">
      <c r="B85" s="19"/>
    </row>
    <row r="86" spans="2:8" x14ac:dyDescent="0.25">
      <c r="B86" s="19"/>
    </row>
    <row r="87" spans="2:8" x14ac:dyDescent="0.25">
      <c r="C87" s="19"/>
      <c r="D87" s="19"/>
      <c r="E87" s="19"/>
      <c r="F87" s="19"/>
      <c r="G87" s="19"/>
      <c r="H87" s="19"/>
    </row>
    <row r="90" spans="2:8" x14ac:dyDescent="0.25">
      <c r="C90" s="19"/>
      <c r="D90" s="19"/>
      <c r="E90" s="19"/>
      <c r="F90" s="19"/>
      <c r="G90" s="19"/>
      <c r="H90" s="19"/>
    </row>
    <row r="91" spans="2:8" x14ac:dyDescent="0.25">
      <c r="C91" s="19"/>
      <c r="D91" s="19"/>
      <c r="E91" s="19"/>
      <c r="F91" s="19"/>
      <c r="G91" s="19"/>
      <c r="H91" s="19"/>
    </row>
    <row r="92" spans="2:8" x14ac:dyDescent="0.25">
      <c r="C92" s="19"/>
      <c r="D92" s="19"/>
      <c r="E92" s="19"/>
      <c r="F92" s="19"/>
      <c r="G92" s="19"/>
      <c r="H92" s="19"/>
    </row>
  </sheetData>
  <mergeCells count="3">
    <mergeCell ref="J36:J37"/>
    <mergeCell ref="J42:J43"/>
    <mergeCell ref="B1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F36FE-3654-411A-A522-892EE70AEEC6}">
  <dimension ref="B2:K14"/>
  <sheetViews>
    <sheetView showGridLines="0" zoomScale="135" zoomScaleNormal="135" workbookViewId="0">
      <selection activeCell="C12" sqref="C12"/>
    </sheetView>
  </sheetViews>
  <sheetFormatPr defaultRowHeight="13.2" x14ac:dyDescent="0.25"/>
  <cols>
    <col min="6" max="9" width="9.88671875" bestFit="1" customWidth="1"/>
    <col min="10" max="10" width="10.44140625" bestFit="1" customWidth="1"/>
    <col min="11" max="11" width="11.5546875" bestFit="1" customWidth="1"/>
  </cols>
  <sheetData>
    <row r="2" spans="2:11" x14ac:dyDescent="0.25">
      <c r="B2" s="1" t="s">
        <v>0</v>
      </c>
    </row>
    <row r="3" spans="2:11" x14ac:dyDescent="0.25">
      <c r="F3" s="2">
        <v>2025</v>
      </c>
      <c r="G3" s="2">
        <v>2026</v>
      </c>
      <c r="H3" s="2">
        <v>2027</v>
      </c>
      <c r="I3" s="2">
        <v>2028</v>
      </c>
      <c r="J3" s="2">
        <v>2029</v>
      </c>
      <c r="K3" s="2">
        <v>2030</v>
      </c>
    </row>
    <row r="4" spans="2:11" x14ac:dyDescent="0.25">
      <c r="B4" t="s">
        <v>1</v>
      </c>
      <c r="F4" s="4">
        <v>4231023</v>
      </c>
      <c r="G4" s="4">
        <v>6340214</v>
      </c>
      <c r="H4" s="4">
        <v>7853294</v>
      </c>
      <c r="I4" s="4">
        <v>9729312</v>
      </c>
      <c r="J4" s="4">
        <v>11223144</v>
      </c>
      <c r="K4" s="4">
        <v>12391285</v>
      </c>
    </row>
    <row r="6" spans="2:11" x14ac:dyDescent="0.25">
      <c r="B6" s="1" t="s">
        <v>2</v>
      </c>
    </row>
    <row r="7" spans="2:11" x14ac:dyDescent="0.25">
      <c r="B7" t="s">
        <v>3</v>
      </c>
    </row>
    <row r="8" spans="2:11" x14ac:dyDescent="0.25">
      <c r="B8" t="s">
        <v>4</v>
      </c>
      <c r="F8" s="2">
        <v>0</v>
      </c>
      <c r="G8" s="2">
        <v>1</v>
      </c>
      <c r="H8" s="2">
        <v>2</v>
      </c>
      <c r="I8" s="2">
        <v>3</v>
      </c>
      <c r="J8" s="2">
        <v>4</v>
      </c>
      <c r="K8" s="3"/>
    </row>
    <row r="9" spans="2:11" x14ac:dyDescent="0.25">
      <c r="B9" t="s">
        <v>5</v>
      </c>
      <c r="F9" s="5">
        <v>1</v>
      </c>
      <c r="G9" s="5">
        <v>0.9</v>
      </c>
      <c r="H9" s="5">
        <v>0.8</v>
      </c>
      <c r="I9" s="5">
        <v>0.75</v>
      </c>
      <c r="J9" s="5">
        <v>0.7</v>
      </c>
    </row>
    <row r="13" spans="2:11" x14ac:dyDescent="0.25">
      <c r="B13" s="1" t="s">
        <v>6</v>
      </c>
    </row>
    <row r="14" spans="2:11" x14ac:dyDescent="0.25">
      <c r="B1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A</vt:lpstr>
      <vt:lpstr>Product A+B</vt:lpstr>
      <vt:lpstr>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Popov</dc:creator>
  <cp:lastModifiedBy>Steven Sohn</cp:lastModifiedBy>
  <dcterms:created xsi:type="dcterms:W3CDTF">2024-10-11T17:51:55Z</dcterms:created>
  <dcterms:modified xsi:type="dcterms:W3CDTF">2024-11-01T15:31:20Z</dcterms:modified>
</cp:coreProperties>
</file>